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gracia\Desktop\"/>
    </mc:Choice>
  </mc:AlternateContent>
  <bookViews>
    <workbookView xWindow="0" yWindow="0" windowWidth="28800" windowHeight="12432" activeTab="3"/>
  </bookViews>
  <sheets>
    <sheet name="Sub 21 Fem" sheetId="2" r:id="rId1"/>
    <sheet name="Sub 21 Masc" sheetId="1" r:id="rId2"/>
    <sheet name="Cad Fem" sheetId="6" r:id="rId3"/>
    <sheet name="Cad Masc" sheetId="5" r:id="rId4"/>
    <sheet name="Inf Fem" sheetId="7" r:id="rId5"/>
    <sheet name="Inf Masc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2" l="1"/>
  <c r="C78" i="2"/>
  <c r="B78" i="2"/>
  <c r="D75" i="2"/>
  <c r="C75" i="2"/>
  <c r="B75" i="2"/>
  <c r="D72" i="2"/>
  <c r="C72" i="2"/>
  <c r="B72" i="2"/>
  <c r="C69" i="2"/>
  <c r="B69" i="2"/>
  <c r="C66" i="2"/>
  <c r="B66" i="2"/>
  <c r="C63" i="2"/>
  <c r="B63" i="2"/>
  <c r="D60" i="2"/>
  <c r="B60" i="2"/>
  <c r="B57" i="2"/>
  <c r="B54" i="2"/>
  <c r="B51" i="2"/>
  <c r="B48" i="2"/>
  <c r="D39" i="2"/>
  <c r="C39" i="2"/>
  <c r="B39" i="2"/>
  <c r="D38" i="2"/>
  <c r="C38" i="2"/>
  <c r="B38" i="2"/>
  <c r="L37" i="2"/>
  <c r="K37" i="2"/>
  <c r="J37" i="2"/>
  <c r="D37" i="2"/>
  <c r="C37" i="2"/>
  <c r="B37" i="2"/>
  <c r="L36" i="2"/>
  <c r="K36" i="2"/>
  <c r="J36" i="2"/>
  <c r="D36" i="2"/>
  <c r="C36" i="2"/>
  <c r="B36" i="2"/>
  <c r="L35" i="2"/>
  <c r="K35" i="2"/>
  <c r="J35" i="2"/>
  <c r="D35" i="2"/>
  <c r="C35" i="2"/>
  <c r="B35" i="2"/>
  <c r="L34" i="2"/>
  <c r="K34" i="2"/>
  <c r="M34" i="2" s="1"/>
  <c r="N34" i="2" s="1"/>
  <c r="J34" i="2"/>
  <c r="D34" i="2"/>
  <c r="C34" i="2"/>
  <c r="B34" i="2"/>
  <c r="A34" i="2"/>
  <c r="A35" i="2" s="1"/>
  <c r="A24" i="2" s="1"/>
  <c r="A29" i="2" s="1"/>
  <c r="A36" i="2" s="1"/>
  <c r="A37" i="2" s="1"/>
  <c r="A25" i="2" s="1"/>
  <c r="A30" i="2" s="1"/>
  <c r="A38" i="2" s="1"/>
  <c r="A39" i="2" s="1"/>
  <c r="A26" i="2" s="1"/>
  <c r="A31" i="2" s="1"/>
  <c r="D31" i="2"/>
  <c r="C31" i="2"/>
  <c r="B31" i="2"/>
  <c r="L30" i="2"/>
  <c r="K30" i="2"/>
  <c r="J30" i="2"/>
  <c r="D30" i="2"/>
  <c r="C30" i="2"/>
  <c r="B30" i="2"/>
  <c r="L29" i="2"/>
  <c r="K29" i="2"/>
  <c r="J29" i="2"/>
  <c r="D29" i="2"/>
  <c r="C29" i="2"/>
  <c r="B29" i="2"/>
  <c r="L28" i="2"/>
  <c r="K28" i="2"/>
  <c r="M28" i="2" s="1"/>
  <c r="N28" i="2" s="1"/>
  <c r="J28" i="2"/>
  <c r="D26" i="2"/>
  <c r="C26" i="2"/>
  <c r="B26" i="2"/>
  <c r="L25" i="2"/>
  <c r="K25" i="2"/>
  <c r="J25" i="2"/>
  <c r="D25" i="2"/>
  <c r="C25" i="2"/>
  <c r="B25" i="2"/>
  <c r="L24" i="2"/>
  <c r="K24" i="2"/>
  <c r="J24" i="2"/>
  <c r="D24" i="2"/>
  <c r="C24" i="2"/>
  <c r="B24" i="2"/>
  <c r="L23" i="2"/>
  <c r="K23" i="2"/>
  <c r="M23" i="2" s="1"/>
  <c r="N23" i="2" s="1"/>
  <c r="J23" i="2"/>
  <c r="D21" i="2"/>
  <c r="C21" i="2"/>
  <c r="B21" i="2"/>
  <c r="L20" i="2"/>
  <c r="K20" i="2"/>
  <c r="J20" i="2"/>
  <c r="D20" i="2"/>
  <c r="C20" i="2"/>
  <c r="B20" i="2"/>
  <c r="L19" i="2"/>
  <c r="K19" i="2"/>
  <c r="J19" i="2"/>
  <c r="D19" i="2"/>
  <c r="C19" i="2"/>
  <c r="B19" i="2"/>
  <c r="A19" i="2"/>
  <c r="A10" i="2" s="1"/>
  <c r="A15" i="2" s="1"/>
  <c r="A20" i="2" s="1"/>
  <c r="A11" i="2" s="1"/>
  <c r="A16" i="2" s="1"/>
  <c r="A21" i="2" s="1"/>
  <c r="L18" i="2"/>
  <c r="K18" i="2"/>
  <c r="J18" i="2"/>
  <c r="D16" i="2"/>
  <c r="C16" i="2"/>
  <c r="B16" i="2"/>
  <c r="L15" i="2"/>
  <c r="K15" i="2"/>
  <c r="J15" i="2"/>
  <c r="D15" i="2"/>
  <c r="C15" i="2"/>
  <c r="B15" i="2"/>
  <c r="L14" i="2"/>
  <c r="K14" i="2"/>
  <c r="J14" i="2"/>
  <c r="D14" i="2"/>
  <c r="C14" i="2"/>
  <c r="B14" i="2"/>
  <c r="L13" i="2"/>
  <c r="K13" i="2"/>
  <c r="M13" i="2" s="1"/>
  <c r="N13" i="2" s="1"/>
  <c r="J13" i="2"/>
  <c r="D11" i="2"/>
  <c r="C11" i="2"/>
  <c r="B11" i="2"/>
  <c r="L10" i="2"/>
  <c r="K10" i="2"/>
  <c r="J10" i="2"/>
  <c r="D10" i="2"/>
  <c r="C10" i="2"/>
  <c r="B10" i="2"/>
  <c r="L9" i="2"/>
  <c r="K9" i="2"/>
  <c r="M9" i="2" s="1"/>
  <c r="N9" i="2" s="1"/>
  <c r="J9" i="2"/>
  <c r="D9" i="2"/>
  <c r="C9" i="2"/>
  <c r="B9" i="2"/>
  <c r="A9" i="2"/>
  <c r="A14" i="2" s="1"/>
  <c r="L8" i="2"/>
  <c r="K8" i="2"/>
  <c r="M8" i="2" s="1"/>
  <c r="N8" i="2" s="1"/>
  <c r="J8" i="2"/>
  <c r="M29" i="2" l="1"/>
  <c r="N29" i="2" s="1"/>
  <c r="H28" i="2" s="1"/>
  <c r="Q29" i="2" s="1"/>
  <c r="M19" i="2"/>
  <c r="N19" i="2" s="1"/>
  <c r="M35" i="2"/>
  <c r="N35" i="2" s="1"/>
  <c r="M37" i="2"/>
  <c r="N37" i="2" s="1"/>
  <c r="M36" i="2"/>
  <c r="N36" i="2" s="1"/>
  <c r="M30" i="2"/>
  <c r="N30" i="2" s="1"/>
  <c r="M25" i="2"/>
  <c r="N25" i="2" s="1"/>
  <c r="M20" i="2"/>
  <c r="N20" i="2" s="1"/>
  <c r="M14" i="2"/>
  <c r="N14" i="2" s="1"/>
  <c r="H14" i="2" s="1"/>
  <c r="Q14" i="2" s="1"/>
  <c r="D51" i="2" s="1"/>
  <c r="M15" i="2"/>
  <c r="N15" i="2" s="1"/>
  <c r="H13" i="2"/>
  <c r="Q13" i="2" s="1"/>
  <c r="D69" i="2" s="1"/>
  <c r="H15" i="2"/>
  <c r="A54" i="2"/>
  <c r="A57" i="2" s="1"/>
  <c r="A48" i="2"/>
  <c r="A51" i="2" s="1"/>
  <c r="M10" i="2"/>
  <c r="N10" i="2" s="1"/>
  <c r="H10" i="2" s="1"/>
  <c r="M18" i="2"/>
  <c r="N18" i="2" s="1"/>
  <c r="M24" i="2"/>
  <c r="N24" i="2" s="1"/>
  <c r="H24" i="2" s="1"/>
  <c r="H29" i="2" l="1"/>
  <c r="H18" i="2"/>
  <c r="H35" i="2"/>
  <c r="H37" i="2"/>
  <c r="H34" i="2"/>
  <c r="H36" i="2"/>
  <c r="Q28" i="2"/>
  <c r="C51" i="2" s="1"/>
  <c r="H30" i="2"/>
  <c r="Q30" i="2" s="1"/>
  <c r="Q19" i="2"/>
  <c r="D48" i="2" s="1"/>
  <c r="Q18" i="2"/>
  <c r="D66" i="2" s="1"/>
  <c r="Q15" i="2"/>
  <c r="H8" i="2"/>
  <c r="H9" i="2"/>
  <c r="H20" i="2"/>
  <c r="D54" i="2"/>
  <c r="A66" i="2"/>
  <c r="A60" i="2"/>
  <c r="H23" i="2"/>
  <c r="H19" i="2"/>
  <c r="Q20" i="2" s="1"/>
  <c r="H25" i="2"/>
  <c r="Q34" i="2" l="1"/>
  <c r="C57" i="2" s="1"/>
  <c r="Q35" i="2"/>
  <c r="C48" i="2" s="1"/>
  <c r="Q36" i="2"/>
  <c r="Q37" i="2"/>
  <c r="Q23" i="2"/>
  <c r="D63" i="2" s="1"/>
  <c r="Q25" i="2"/>
  <c r="Q24" i="2"/>
  <c r="C54" i="2" s="1"/>
  <c r="Q10" i="2"/>
  <c r="Q8" i="2"/>
  <c r="Q9" i="2"/>
  <c r="A69" i="2"/>
  <c r="A63" i="2"/>
  <c r="D57" i="2" l="1"/>
  <c r="C60" i="2"/>
  <c r="A75" i="2"/>
  <c r="A72" i="2"/>
  <c r="A78" i="2" s="1"/>
  <c r="D38" i="7" l="1"/>
  <c r="C38" i="7"/>
  <c r="B38" i="7"/>
  <c r="B35" i="7"/>
  <c r="B32" i="7"/>
  <c r="D26" i="7"/>
  <c r="C26" i="7"/>
  <c r="D25" i="7"/>
  <c r="C25" i="7"/>
  <c r="B25" i="7"/>
  <c r="D24" i="7"/>
  <c r="C24" i="7"/>
  <c r="B24" i="7"/>
  <c r="D23" i="7"/>
  <c r="C23" i="7"/>
  <c r="B23" i="7"/>
  <c r="M21" i="7"/>
  <c r="L21" i="7"/>
  <c r="K21" i="7"/>
  <c r="D22" i="7"/>
  <c r="C22" i="7"/>
  <c r="B22" i="7"/>
  <c r="M20" i="7"/>
  <c r="L20" i="7"/>
  <c r="K20" i="7"/>
  <c r="D21" i="7"/>
  <c r="C21" i="7"/>
  <c r="B21" i="7"/>
  <c r="M19" i="7"/>
  <c r="L19" i="7"/>
  <c r="K19" i="7"/>
  <c r="D20" i="7"/>
  <c r="C20" i="7"/>
  <c r="B20" i="7"/>
  <c r="M18" i="7"/>
  <c r="L18" i="7"/>
  <c r="K18" i="7"/>
  <c r="D19" i="7"/>
  <c r="C19" i="7"/>
  <c r="B19" i="7"/>
  <c r="M17" i="7"/>
  <c r="L17" i="7"/>
  <c r="N17" i="7" s="1"/>
  <c r="O17" i="7" s="1"/>
  <c r="K17" i="7"/>
  <c r="D18" i="7"/>
  <c r="C18" i="7"/>
  <c r="B18" i="7"/>
  <c r="D17" i="7"/>
  <c r="C17" i="7"/>
  <c r="B17" i="7"/>
  <c r="A17" i="7"/>
  <c r="A18" i="7" s="1"/>
  <c r="D14" i="7"/>
  <c r="C14" i="7"/>
  <c r="B14" i="7"/>
  <c r="B26" i="7" s="1"/>
  <c r="D13" i="7"/>
  <c r="C13" i="7"/>
  <c r="B13" i="7"/>
  <c r="M12" i="7"/>
  <c r="L12" i="7"/>
  <c r="K12" i="7"/>
  <c r="D12" i="7"/>
  <c r="C12" i="7"/>
  <c r="B12" i="7"/>
  <c r="M11" i="7"/>
  <c r="L11" i="7"/>
  <c r="K11" i="7"/>
  <c r="D11" i="7"/>
  <c r="C11" i="7"/>
  <c r="B11" i="7"/>
  <c r="M10" i="7"/>
  <c r="L10" i="7"/>
  <c r="K10" i="7"/>
  <c r="D10" i="7"/>
  <c r="C10" i="7"/>
  <c r="B10" i="7"/>
  <c r="M9" i="7"/>
  <c r="L9" i="7"/>
  <c r="N9" i="7" s="1"/>
  <c r="O9" i="7" s="1"/>
  <c r="K9" i="7"/>
  <c r="D9" i="7"/>
  <c r="C9" i="7"/>
  <c r="B9" i="7"/>
  <c r="B35" i="5"/>
  <c r="B25" i="5"/>
  <c r="B24" i="5"/>
  <c r="B23" i="5"/>
  <c r="A17" i="5"/>
  <c r="A18" i="5" s="1"/>
  <c r="A19" i="5" s="1"/>
  <c r="A20" i="5" s="1"/>
  <c r="A21" i="5" s="1"/>
  <c r="A22" i="5" s="1"/>
  <c r="A23" i="5" s="1"/>
  <c r="A24" i="5" s="1"/>
  <c r="A26" i="5" s="1"/>
  <c r="A42" i="6"/>
  <c r="A39" i="6"/>
  <c r="A36" i="6"/>
  <c r="A15" i="6"/>
  <c r="A27" i="6"/>
  <c r="A21" i="6"/>
  <c r="A22" i="6" s="1"/>
  <c r="A23" i="6" s="1"/>
  <c r="A24" i="6" s="1"/>
  <c r="A25" i="6" s="1"/>
  <c r="A26" i="6" s="1"/>
  <c r="A9" i="6"/>
  <c r="A11" i="6"/>
  <c r="A12" i="6" s="1"/>
  <c r="A13" i="6" s="1"/>
  <c r="A14" i="6" s="1"/>
  <c r="A16" i="6" s="1"/>
  <c r="A17" i="6" s="1"/>
  <c r="A18" i="6" s="1"/>
  <c r="A10" i="6"/>
  <c r="D42" i="6"/>
  <c r="C42" i="6"/>
  <c r="B42" i="6"/>
  <c r="B39" i="6"/>
  <c r="B36" i="6"/>
  <c r="D30" i="6"/>
  <c r="C30" i="6"/>
  <c r="B30" i="6"/>
  <c r="D29" i="6"/>
  <c r="C29" i="6"/>
  <c r="B29" i="6"/>
  <c r="D28" i="6"/>
  <c r="C28" i="6"/>
  <c r="B28" i="6"/>
  <c r="R25" i="6"/>
  <c r="M25" i="6"/>
  <c r="L25" i="6"/>
  <c r="N25" i="6" s="1"/>
  <c r="O25" i="6" s="1"/>
  <c r="K25" i="6"/>
  <c r="D27" i="6"/>
  <c r="C27" i="6"/>
  <c r="B27" i="6"/>
  <c r="R24" i="6"/>
  <c r="M24" i="6"/>
  <c r="L24" i="6"/>
  <c r="N24" i="6" s="1"/>
  <c r="O24" i="6" s="1"/>
  <c r="K24" i="6"/>
  <c r="D26" i="6"/>
  <c r="C26" i="6"/>
  <c r="B26" i="6"/>
  <c r="R23" i="6"/>
  <c r="M23" i="6"/>
  <c r="L23" i="6"/>
  <c r="N23" i="6" s="1"/>
  <c r="O23" i="6" s="1"/>
  <c r="K23" i="6"/>
  <c r="D25" i="6"/>
  <c r="C25" i="6"/>
  <c r="B25" i="6"/>
  <c r="R22" i="6"/>
  <c r="D36" i="6" s="1"/>
  <c r="M22" i="6"/>
  <c r="L22" i="6"/>
  <c r="N22" i="6" s="1"/>
  <c r="O22" i="6" s="1"/>
  <c r="K22" i="6"/>
  <c r="D24" i="6"/>
  <c r="C24" i="6"/>
  <c r="B24" i="6"/>
  <c r="R21" i="6"/>
  <c r="C39" i="6" s="1"/>
  <c r="M21" i="6"/>
  <c r="L21" i="6"/>
  <c r="N21" i="6" s="1"/>
  <c r="O21" i="6" s="1"/>
  <c r="H21" i="6" s="1"/>
  <c r="K21" i="6"/>
  <c r="D23" i="6"/>
  <c r="C23" i="6"/>
  <c r="B23" i="6"/>
  <c r="D22" i="6"/>
  <c r="C22" i="6"/>
  <c r="B22" i="6"/>
  <c r="D21" i="6"/>
  <c r="C21" i="6"/>
  <c r="B21" i="6"/>
  <c r="D18" i="6"/>
  <c r="C18" i="6"/>
  <c r="B18" i="6"/>
  <c r="D17" i="6"/>
  <c r="C17" i="6"/>
  <c r="B17" i="6"/>
  <c r="D16" i="6"/>
  <c r="C16" i="6"/>
  <c r="B16" i="6"/>
  <c r="M13" i="6"/>
  <c r="L13" i="6"/>
  <c r="N13" i="6" s="1"/>
  <c r="O13" i="6" s="1"/>
  <c r="K13" i="6"/>
  <c r="R13" i="6" s="1"/>
  <c r="D15" i="6"/>
  <c r="C15" i="6"/>
  <c r="B15" i="6"/>
  <c r="M12" i="6"/>
  <c r="L12" i="6"/>
  <c r="N12" i="6" s="1"/>
  <c r="O12" i="6" s="1"/>
  <c r="K12" i="6"/>
  <c r="R12" i="6" s="1"/>
  <c r="D14" i="6"/>
  <c r="C14" i="6"/>
  <c r="B14" i="6"/>
  <c r="M11" i="6"/>
  <c r="L11" i="6"/>
  <c r="N11" i="6" s="1"/>
  <c r="O11" i="6" s="1"/>
  <c r="K11" i="6"/>
  <c r="R11" i="6" s="1"/>
  <c r="D13" i="6"/>
  <c r="C13" i="6"/>
  <c r="B13" i="6"/>
  <c r="M10" i="6"/>
  <c r="L10" i="6"/>
  <c r="N10" i="6" s="1"/>
  <c r="O10" i="6" s="1"/>
  <c r="K10" i="6"/>
  <c r="R10" i="6" s="1"/>
  <c r="D39" i="6" s="1"/>
  <c r="D12" i="6"/>
  <c r="C12" i="6"/>
  <c r="B12" i="6"/>
  <c r="M9" i="6"/>
  <c r="L9" i="6"/>
  <c r="N9" i="6" s="1"/>
  <c r="O9" i="6" s="1"/>
  <c r="H9" i="6" s="1"/>
  <c r="K9" i="6"/>
  <c r="R9" i="6" s="1"/>
  <c r="C36" i="6" s="1"/>
  <c r="D11" i="6"/>
  <c r="C11" i="6"/>
  <c r="B11" i="6"/>
  <c r="D10" i="6"/>
  <c r="C10" i="6"/>
  <c r="B10" i="6"/>
  <c r="D9" i="6"/>
  <c r="C9" i="6"/>
  <c r="B9" i="6"/>
  <c r="D38" i="5"/>
  <c r="C38" i="5"/>
  <c r="B38" i="5"/>
  <c r="B32" i="5"/>
  <c r="D26" i="5"/>
  <c r="C26" i="5"/>
  <c r="D25" i="5"/>
  <c r="C25" i="5"/>
  <c r="D24" i="5"/>
  <c r="C24" i="5"/>
  <c r="M22" i="5"/>
  <c r="L22" i="5"/>
  <c r="K22" i="5"/>
  <c r="D23" i="5"/>
  <c r="C23" i="5"/>
  <c r="M21" i="5"/>
  <c r="L21" i="5"/>
  <c r="K21" i="5"/>
  <c r="D22" i="5"/>
  <c r="C22" i="5"/>
  <c r="B22" i="5"/>
  <c r="M20" i="5"/>
  <c r="L20" i="5"/>
  <c r="K20" i="5"/>
  <c r="D21" i="5"/>
  <c r="C21" i="5"/>
  <c r="B21" i="5"/>
  <c r="M19" i="5"/>
  <c r="L19" i="5"/>
  <c r="K19" i="5"/>
  <c r="D20" i="5"/>
  <c r="C20" i="5"/>
  <c r="B20" i="5"/>
  <c r="M18" i="5"/>
  <c r="L18" i="5"/>
  <c r="K18" i="5"/>
  <c r="D19" i="5"/>
  <c r="C19" i="5"/>
  <c r="B19" i="5"/>
  <c r="D18" i="5"/>
  <c r="C18" i="5"/>
  <c r="B18" i="5"/>
  <c r="D17" i="5"/>
  <c r="C17" i="5"/>
  <c r="B17" i="5"/>
  <c r="D14" i="5"/>
  <c r="C14" i="5"/>
  <c r="B14" i="5"/>
  <c r="B26" i="5" s="1"/>
  <c r="M12" i="5"/>
  <c r="L12" i="5"/>
  <c r="K12" i="5"/>
  <c r="D13" i="5"/>
  <c r="C13" i="5"/>
  <c r="B13" i="5"/>
  <c r="M11" i="5"/>
  <c r="L11" i="5"/>
  <c r="K11" i="5"/>
  <c r="D12" i="5"/>
  <c r="C12" i="5"/>
  <c r="B12" i="5"/>
  <c r="M10" i="5"/>
  <c r="L10" i="5"/>
  <c r="N10" i="5" s="1"/>
  <c r="O10" i="5" s="1"/>
  <c r="K10" i="5"/>
  <c r="D11" i="5"/>
  <c r="C11" i="5"/>
  <c r="B11" i="5"/>
  <c r="M9" i="5"/>
  <c r="L9" i="5"/>
  <c r="N9" i="5" s="1"/>
  <c r="O9" i="5" s="1"/>
  <c r="K9" i="5"/>
  <c r="D10" i="5"/>
  <c r="C10" i="5"/>
  <c r="B10" i="5"/>
  <c r="D9" i="5"/>
  <c r="C9" i="5"/>
  <c r="B9" i="5"/>
  <c r="B21" i="4"/>
  <c r="B17" i="4"/>
  <c r="B15" i="4"/>
  <c r="B13" i="4"/>
  <c r="B11" i="4"/>
  <c r="B9" i="4"/>
  <c r="A9" i="4"/>
  <c r="A10" i="4"/>
  <c r="A11" i="4" s="1"/>
  <c r="A12" i="4" s="1"/>
  <c r="A13" i="4" s="1"/>
  <c r="A14" i="4" s="1"/>
  <c r="D18" i="4"/>
  <c r="C18" i="4"/>
  <c r="B18" i="4"/>
  <c r="D17" i="4"/>
  <c r="C17" i="4"/>
  <c r="D16" i="4"/>
  <c r="C16" i="4"/>
  <c r="B16" i="4"/>
  <c r="L13" i="4"/>
  <c r="K13" i="4"/>
  <c r="M13" i="4" s="1"/>
  <c r="N13" i="4" s="1"/>
  <c r="J13" i="4"/>
  <c r="D15" i="4"/>
  <c r="C15" i="4"/>
  <c r="L12" i="4"/>
  <c r="K12" i="4"/>
  <c r="J12" i="4"/>
  <c r="D14" i="4"/>
  <c r="C14" i="4"/>
  <c r="B14" i="4"/>
  <c r="L11" i="4"/>
  <c r="K11" i="4"/>
  <c r="J11" i="4"/>
  <c r="D13" i="4"/>
  <c r="C13" i="4"/>
  <c r="L10" i="4"/>
  <c r="K10" i="4"/>
  <c r="J10" i="4"/>
  <c r="D12" i="4"/>
  <c r="C12" i="4"/>
  <c r="B12" i="4"/>
  <c r="L9" i="4"/>
  <c r="K9" i="4"/>
  <c r="M9" i="4" s="1"/>
  <c r="N9" i="4" s="1"/>
  <c r="J9" i="4"/>
  <c r="D11" i="4"/>
  <c r="C11" i="4"/>
  <c r="D10" i="4"/>
  <c r="C10" i="4"/>
  <c r="B10" i="4"/>
  <c r="D9" i="4"/>
  <c r="C9" i="4"/>
  <c r="A29" i="1"/>
  <c r="A38" i="1"/>
  <c r="A30" i="1" s="1"/>
  <c r="A39" i="1" s="1"/>
  <c r="A31" i="1" s="1"/>
  <c r="A40" i="1" s="1"/>
  <c r="A32" i="1" s="1"/>
  <c r="A41" i="1" s="1"/>
  <c r="A33" i="1" s="1"/>
  <c r="A42" i="1" s="1"/>
  <c r="A34" i="1" s="1"/>
  <c r="A43" i="1" s="1"/>
  <c r="N18" i="7" l="1"/>
  <c r="O18" i="7" s="1"/>
  <c r="N19" i="7"/>
  <c r="O19" i="7" s="1"/>
  <c r="N20" i="7"/>
  <c r="O20" i="7" s="1"/>
  <c r="N10" i="7"/>
  <c r="O10" i="7" s="1"/>
  <c r="H9" i="7" s="1"/>
  <c r="N11" i="7"/>
  <c r="O11" i="7" s="1"/>
  <c r="N12" i="7"/>
  <c r="O12" i="7" s="1"/>
  <c r="H12" i="7" s="1"/>
  <c r="N21" i="7"/>
  <c r="O21" i="7" s="1"/>
  <c r="R9" i="7"/>
  <c r="C32" i="7" s="1"/>
  <c r="N22" i="5"/>
  <c r="O22" i="5" s="1"/>
  <c r="N12" i="5"/>
  <c r="O12" i="5" s="1"/>
  <c r="H11" i="5" s="1"/>
  <c r="N11" i="5"/>
  <c r="O11" i="5" s="1"/>
  <c r="H11" i="7"/>
  <c r="R12" i="7" s="1"/>
  <c r="A9" i="7"/>
  <c r="A10" i="7" s="1"/>
  <c r="A11" i="7" s="1"/>
  <c r="A12" i="7" s="1"/>
  <c r="A13" i="7" s="1"/>
  <c r="A14" i="7" s="1"/>
  <c r="A19" i="7"/>
  <c r="A20" i="7" s="1"/>
  <c r="A21" i="7" s="1"/>
  <c r="A22" i="7" s="1"/>
  <c r="A23" i="7" s="1"/>
  <c r="A24" i="7" s="1"/>
  <c r="R10" i="7"/>
  <c r="D35" i="7" s="1"/>
  <c r="Q10" i="4"/>
  <c r="D21" i="4" s="1"/>
  <c r="M11" i="4"/>
  <c r="N11" i="4" s="1"/>
  <c r="A15" i="4"/>
  <c r="A16" i="4" s="1"/>
  <c r="A17" i="4" s="1"/>
  <c r="A18" i="4" s="1"/>
  <c r="A21" i="4" s="1"/>
  <c r="H10" i="5"/>
  <c r="N18" i="5"/>
  <c r="O18" i="5" s="1"/>
  <c r="N19" i="5"/>
  <c r="O19" i="5" s="1"/>
  <c r="N20" i="5"/>
  <c r="O20" i="5" s="1"/>
  <c r="N21" i="5"/>
  <c r="O21" i="5" s="1"/>
  <c r="A9" i="5"/>
  <c r="A35" i="5"/>
  <c r="A32" i="5"/>
  <c r="A25" i="5"/>
  <c r="A28" i="6"/>
  <c r="A29" i="6" s="1"/>
  <c r="A30" i="6" s="1"/>
  <c r="H10" i="6"/>
  <c r="H11" i="6"/>
  <c r="H12" i="6"/>
  <c r="H13" i="6"/>
  <c r="H22" i="6"/>
  <c r="H24" i="6"/>
  <c r="H23" i="6"/>
  <c r="H25" i="6"/>
  <c r="H12" i="5"/>
  <c r="R9" i="5"/>
  <c r="C32" i="5" s="1"/>
  <c r="Q12" i="4"/>
  <c r="Q9" i="4"/>
  <c r="M10" i="4"/>
  <c r="N10" i="4" s="1"/>
  <c r="Q11" i="4"/>
  <c r="M12" i="4"/>
  <c r="N12" i="4" s="1"/>
  <c r="Q13" i="4"/>
  <c r="H11" i="4"/>
  <c r="C21" i="4"/>
  <c r="H12" i="4"/>
  <c r="H20" i="7" l="1"/>
  <c r="H18" i="7"/>
  <c r="H19" i="7"/>
  <c r="H10" i="7"/>
  <c r="R11" i="7" s="1"/>
  <c r="H17" i="7"/>
  <c r="H21" i="7"/>
  <c r="H20" i="5"/>
  <c r="H9" i="5"/>
  <c r="R12" i="5" s="1"/>
  <c r="H19" i="5"/>
  <c r="H21" i="5"/>
  <c r="H22" i="5"/>
  <c r="R10" i="5"/>
  <c r="D35" i="5" s="1"/>
  <c r="R11" i="5"/>
  <c r="A26" i="7"/>
  <c r="A25" i="7"/>
  <c r="H9" i="4"/>
  <c r="H18" i="5"/>
  <c r="A38" i="5"/>
  <c r="H10" i="4"/>
  <c r="H13" i="4"/>
  <c r="R17" i="7" l="1"/>
  <c r="C35" i="7" s="1"/>
  <c r="R19" i="7"/>
  <c r="R18" i="7"/>
  <c r="D32" i="7" s="1"/>
  <c r="R21" i="7"/>
  <c r="R20" i="7"/>
  <c r="R20" i="5"/>
  <c r="R22" i="5"/>
  <c r="R18" i="5"/>
  <c r="C35" i="5" s="1"/>
  <c r="R19" i="5"/>
  <c r="D32" i="5" s="1"/>
  <c r="R21" i="5"/>
  <c r="A35" i="7"/>
  <c r="A38" i="7" s="1"/>
  <c r="A32" i="7"/>
  <c r="A12" i="1" l="1"/>
  <c r="A21" i="1" s="1"/>
  <c r="A13" i="1" s="1"/>
  <c r="A22" i="1" s="1"/>
  <c r="A14" i="1" s="1"/>
  <c r="A23" i="1" s="1"/>
  <c r="A15" i="1" s="1"/>
  <c r="A24" i="1" s="1"/>
  <c r="A16" i="1" s="1"/>
  <c r="A25" i="1" s="1"/>
  <c r="A17" i="1" s="1"/>
  <c r="A26" i="1" s="1"/>
  <c r="A49" i="1" l="1"/>
  <c r="A52" i="1" s="1"/>
  <c r="A55" i="1" s="1"/>
  <c r="A58" i="1" s="1"/>
  <c r="A61" i="1" s="1"/>
  <c r="A64" i="1" s="1"/>
  <c r="A67" i="1" s="1"/>
  <c r="B67" i="1" l="1"/>
  <c r="B64" i="1"/>
  <c r="B61" i="1"/>
  <c r="B58" i="1"/>
  <c r="B55" i="1"/>
  <c r="B52" i="1"/>
  <c r="B49" i="1"/>
  <c r="B12" i="1"/>
  <c r="B43" i="1"/>
  <c r="B42" i="1"/>
  <c r="B41" i="1"/>
  <c r="B40" i="1"/>
  <c r="B39" i="1"/>
  <c r="B38" i="1"/>
  <c r="B34" i="1"/>
  <c r="B33" i="1"/>
  <c r="B31" i="1"/>
  <c r="B32" i="1"/>
  <c r="B30" i="1"/>
  <c r="B29" i="1"/>
  <c r="B26" i="1"/>
  <c r="B25" i="1"/>
  <c r="B24" i="1"/>
  <c r="B23" i="1"/>
  <c r="B22" i="1"/>
  <c r="B21" i="1"/>
  <c r="B17" i="1"/>
  <c r="B16" i="1"/>
  <c r="B15" i="1"/>
  <c r="B14" i="1"/>
  <c r="B13" i="1"/>
  <c r="D67" i="1"/>
  <c r="C67" i="1"/>
  <c r="D64" i="1"/>
  <c r="C64" i="1"/>
  <c r="D61" i="1"/>
  <c r="C61" i="1"/>
  <c r="L41" i="1"/>
  <c r="K41" i="1"/>
  <c r="J41" i="1"/>
  <c r="L40" i="1"/>
  <c r="K40" i="1"/>
  <c r="J40" i="1"/>
  <c r="L39" i="1"/>
  <c r="K39" i="1"/>
  <c r="J39" i="1"/>
  <c r="L38" i="1"/>
  <c r="K38" i="1"/>
  <c r="J38" i="1"/>
  <c r="L32" i="1"/>
  <c r="K32" i="1"/>
  <c r="J32" i="1"/>
  <c r="L31" i="1"/>
  <c r="K31" i="1"/>
  <c r="J31" i="1"/>
  <c r="L30" i="1"/>
  <c r="K30" i="1"/>
  <c r="J30" i="1"/>
  <c r="L29" i="1"/>
  <c r="K29" i="1"/>
  <c r="J29" i="1"/>
  <c r="L24" i="1"/>
  <c r="K24" i="1"/>
  <c r="J24" i="1"/>
  <c r="L23" i="1"/>
  <c r="K23" i="1"/>
  <c r="J23" i="1"/>
  <c r="L22" i="1"/>
  <c r="K22" i="1"/>
  <c r="J22" i="1"/>
  <c r="L21" i="1"/>
  <c r="K21" i="1"/>
  <c r="J21" i="1"/>
  <c r="L15" i="1"/>
  <c r="K15" i="1"/>
  <c r="J15" i="1"/>
  <c r="L14" i="1"/>
  <c r="K14" i="1"/>
  <c r="J14" i="1"/>
  <c r="L13" i="1"/>
  <c r="K13" i="1"/>
  <c r="J13" i="1"/>
  <c r="L12" i="1"/>
  <c r="K12" i="1"/>
  <c r="J12" i="1"/>
  <c r="M13" i="1" l="1"/>
  <c r="N13" i="1" s="1"/>
  <c r="M15" i="1"/>
  <c r="N15" i="1" s="1"/>
  <c r="M30" i="1"/>
  <c r="N30" i="1" s="1"/>
  <c r="M32" i="1"/>
  <c r="N32" i="1" s="1"/>
  <c r="M14" i="1"/>
  <c r="N14" i="1" s="1"/>
  <c r="M22" i="1"/>
  <c r="N22" i="1" s="1"/>
  <c r="M24" i="1"/>
  <c r="N24" i="1" s="1"/>
  <c r="M31" i="1"/>
  <c r="N31" i="1" s="1"/>
  <c r="M39" i="1"/>
  <c r="N39" i="1" s="1"/>
  <c r="M41" i="1"/>
  <c r="N41" i="1" s="1"/>
  <c r="M21" i="1"/>
  <c r="N21" i="1" s="1"/>
  <c r="M38" i="1"/>
  <c r="N38" i="1" s="1"/>
  <c r="M12" i="1"/>
  <c r="N12" i="1" s="1"/>
  <c r="M23" i="1"/>
  <c r="N23" i="1" s="1"/>
  <c r="M29" i="1"/>
  <c r="N29" i="1" s="1"/>
  <c r="M40" i="1"/>
  <c r="N40" i="1" s="1"/>
  <c r="H12" i="1" l="1"/>
  <c r="Q12" i="1" s="1"/>
  <c r="C49" i="1" s="1"/>
  <c r="H29" i="1"/>
  <c r="H23" i="1"/>
  <c r="H40" i="1"/>
  <c r="H22" i="1"/>
  <c r="H41" i="1"/>
  <c r="H30" i="1"/>
  <c r="H14" i="1"/>
  <c r="Q15" i="1" s="1"/>
  <c r="H21" i="1"/>
  <c r="H32" i="1"/>
  <c r="D42" i="1"/>
  <c r="C39" i="1"/>
  <c r="C41" i="1"/>
  <c r="D34" i="1"/>
  <c r="D30" i="1"/>
  <c r="D31" i="1"/>
  <c r="D25" i="1"/>
  <c r="C22" i="1"/>
  <c r="C24" i="1"/>
  <c r="D17" i="1"/>
  <c r="D13" i="1"/>
  <c r="D14" i="1"/>
  <c r="D32" i="1"/>
  <c r="C34" i="1"/>
  <c r="D29" i="1"/>
  <c r="D43" i="1"/>
  <c r="D39" i="1"/>
  <c r="D40" i="1"/>
  <c r="D41" i="1"/>
  <c r="D38" i="1"/>
  <c r="C43" i="1"/>
  <c r="C16" i="1"/>
  <c r="C14" i="1"/>
  <c r="C12" i="1"/>
  <c r="D26" i="1"/>
  <c r="D22" i="1"/>
  <c r="D23" i="1"/>
  <c r="C15" i="1"/>
  <c r="D16" i="1"/>
  <c r="C13" i="1"/>
  <c r="C42" i="1"/>
  <c r="C40" i="1"/>
  <c r="C38" i="1"/>
  <c r="H38" i="1"/>
  <c r="C32" i="1"/>
  <c r="D33" i="1"/>
  <c r="C30" i="1"/>
  <c r="H39" i="1"/>
  <c r="H31" i="1"/>
  <c r="H24" i="1"/>
  <c r="H15" i="1"/>
  <c r="H13" i="1"/>
  <c r="C33" i="1"/>
  <c r="C31" i="1"/>
  <c r="C29" i="1"/>
  <c r="D24" i="1"/>
  <c r="D21" i="1"/>
  <c r="C26" i="1"/>
  <c r="Q39" i="1" l="1"/>
  <c r="D55" i="1" s="1"/>
  <c r="Q40" i="1"/>
  <c r="Q38" i="1"/>
  <c r="C52" i="1" s="1"/>
  <c r="Q41" i="1"/>
  <c r="Q29" i="1"/>
  <c r="C58" i="1" s="1"/>
  <c r="Q31" i="1"/>
  <c r="Q32" i="1"/>
  <c r="Q30" i="1"/>
  <c r="D49" i="1" s="1"/>
  <c r="Q22" i="1"/>
  <c r="D52" i="1" s="1"/>
  <c r="Q21" i="1"/>
  <c r="C55" i="1" s="1"/>
  <c r="Q24" i="1"/>
  <c r="Q23" i="1"/>
  <c r="Q14" i="1"/>
  <c r="Q13" i="1"/>
  <c r="D58" i="1" s="1"/>
  <c r="D15" i="1"/>
  <c r="C17" i="1"/>
  <c r="D12" i="1"/>
  <c r="C25" i="1"/>
  <c r="C23" i="1"/>
  <c r="C21" i="1"/>
  <c r="A10" i="5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<sst xmlns="http://schemas.openxmlformats.org/spreadsheetml/2006/main" count="501" uniqueCount="162">
  <si>
    <t>Fase Final Campionat</t>
  </si>
  <si>
    <t>Hora</t>
  </si>
  <si>
    <t>Pista</t>
  </si>
  <si>
    <t>Equip 1</t>
  </si>
  <si>
    <t>Equip 2</t>
  </si>
  <si>
    <t xml:space="preserve">Punts </t>
  </si>
  <si>
    <t>Punts</t>
  </si>
  <si>
    <t>RankA</t>
  </si>
  <si>
    <t>Grup A</t>
  </si>
  <si>
    <t>Partits Guanyats</t>
  </si>
  <si>
    <t>Punt F</t>
  </si>
  <si>
    <t>Punt C</t>
  </si>
  <si>
    <t>Coef Punts</t>
  </si>
  <si>
    <t>Cntrol</t>
  </si>
  <si>
    <t>Rank Final</t>
  </si>
  <si>
    <t>Grup B</t>
  </si>
  <si>
    <t>Control</t>
  </si>
  <si>
    <t>Grup C</t>
  </si>
  <si>
    <t>Grup D</t>
  </si>
  <si>
    <t>Fase Final</t>
  </si>
  <si>
    <t>QF1</t>
  </si>
  <si>
    <t>1r Grup A</t>
  </si>
  <si>
    <t>2n Grup C</t>
  </si>
  <si>
    <t>2n Grup B</t>
  </si>
  <si>
    <t>QF2</t>
  </si>
  <si>
    <t>1er Grup D</t>
  </si>
  <si>
    <t>Guanyador QF1</t>
  </si>
  <si>
    <t>QF3</t>
  </si>
  <si>
    <t>1r Grup B</t>
  </si>
  <si>
    <t>2n Grup D</t>
  </si>
  <si>
    <t>2n Grup A</t>
  </si>
  <si>
    <t>QF4</t>
  </si>
  <si>
    <t>1er Grup C</t>
  </si>
  <si>
    <t>Guanyador QF3</t>
  </si>
  <si>
    <t>SF1</t>
  </si>
  <si>
    <t>Guanyador QF2</t>
  </si>
  <si>
    <t>SF2</t>
  </si>
  <si>
    <t>Guanyador QF4</t>
  </si>
  <si>
    <t>Final</t>
  </si>
  <si>
    <t>Guanyador SF1</t>
  </si>
  <si>
    <t>Guanyador SF2</t>
  </si>
  <si>
    <t>Duración Partido</t>
  </si>
  <si>
    <t>Hora de Inicio tarde</t>
  </si>
  <si>
    <t xml:space="preserve">Numero de pistas necesarias </t>
  </si>
  <si>
    <t>Pistas</t>
  </si>
  <si>
    <t>Grup E</t>
  </si>
  <si>
    <t>Grup F</t>
  </si>
  <si>
    <t>ANFRUNS-MOTA</t>
  </si>
  <si>
    <t>LOPEZ-FONT</t>
  </si>
  <si>
    <t>ARES-ALMARAZ</t>
  </si>
  <si>
    <t>CARBO-TORRELLAS STORM</t>
  </si>
  <si>
    <t>MASERAS-ERICKSON</t>
  </si>
  <si>
    <t>RAKSANY-SUAREZ</t>
  </si>
  <si>
    <t>MARINE-GORDO</t>
  </si>
  <si>
    <t>CORTS-PADROSA</t>
  </si>
  <si>
    <t>PERALES-PASCUAL</t>
  </si>
  <si>
    <t>SUSTAUSKAS-CAMPANALS</t>
  </si>
  <si>
    <t>MONT-GUADALAJARA</t>
  </si>
  <si>
    <t>SERENA-GARROS</t>
  </si>
  <si>
    <t>CASTELLA-CASTELLA</t>
  </si>
  <si>
    <t>MORATO-PEREZ</t>
  </si>
  <si>
    <t>GISBERT-DAMASO</t>
  </si>
  <si>
    <t>TAGLIAFERRO-RIBEIRO</t>
  </si>
  <si>
    <t>Hora de Inicio</t>
  </si>
  <si>
    <t>Sots 21/19 Fem</t>
  </si>
  <si>
    <t>Sots 21/19 Masc</t>
  </si>
  <si>
    <t>Tiempo entre partidos</t>
  </si>
  <si>
    <t>Infantil Masc</t>
  </si>
  <si>
    <t>Durada del partit</t>
  </si>
  <si>
    <t>Cadet Masc</t>
  </si>
  <si>
    <t>Cad Fem</t>
  </si>
  <si>
    <t>beach club esportiu el pendulo</t>
  </si>
  <si>
    <t>CV PREMIÀ DE DALT</t>
  </si>
  <si>
    <t>ASS.DE VOLEIBOL DE L'AMETLLA DEL VALLES</t>
  </si>
  <si>
    <t>CLUB VOLEI PLATJA MONTGAT</t>
  </si>
  <si>
    <t xml:space="preserve">FERRER - GIMBERT - BERTHET -SANTOS - ROSELLO - </t>
  </si>
  <si>
    <t xml:space="preserve">GRAS - BEULAS - MORATO -PONSETI - GUIU - </t>
  </si>
  <si>
    <t xml:space="preserve">CANTERO - ALTAFAJ - BENOTMANE -FERNANDEZ -  - </t>
  </si>
  <si>
    <t xml:space="preserve">VANRELL - MIRALVES - TORRUELLA -ESTEBAN - GOMEZ - </t>
  </si>
  <si>
    <t xml:space="preserve">GONZALEZ - PEREZ - CLIMENT -RECIO -  - </t>
  </si>
  <si>
    <t xml:space="preserve">ZUAZU - EASTAWAY - VANDEVYVERE -SILVA -  - </t>
  </si>
  <si>
    <t xml:space="preserve">MONTOYA - ALFARO - VALLE -DRAPER -  - </t>
  </si>
  <si>
    <t xml:space="preserve">GUARRO - CLAPES - VALENCIANO -MUGURUZA -  - </t>
  </si>
  <si>
    <t xml:space="preserve">VILASECA - TORRA - FALIP -CONCUSTELL -  - </t>
  </si>
  <si>
    <t xml:space="preserve">CARDONA - ALBORS - QUINTILLA -RIBAS -  - </t>
  </si>
  <si>
    <t xml:space="preserve">beach club esportiu el pendulo </t>
  </si>
  <si>
    <t>CV ESPLUGUES CABF</t>
  </si>
  <si>
    <t>CV ESPLUGUES MAVD</t>
  </si>
  <si>
    <t>AE VOLEI MANRESA</t>
  </si>
  <si>
    <t>CV ESPLUGUES VMTEG</t>
  </si>
  <si>
    <t>CV ESPLUGUES ZRVS</t>
  </si>
  <si>
    <t xml:space="preserve">CV BARCELONA-BARÇA </t>
  </si>
  <si>
    <t>NOTARIO-SANZ-RAKSANY-HEREDIA</t>
  </si>
  <si>
    <t>MASERAS-PUJOL-MAGRI-ERICKSON</t>
  </si>
  <si>
    <t>ORTIZ-VILLANUEVA-CORREDERA-MUÑOZ</t>
  </si>
  <si>
    <t>CASAS-BENAVENTE-GALINDO-MONTES</t>
  </si>
  <si>
    <t>TEVAR-TERMENS-CURTO-IZQUIERDO</t>
  </si>
  <si>
    <t>PARDILLO-LLEYDA-MARTINEZ-BOLTA-LAMUA</t>
  </si>
  <si>
    <t>BAIGES-RODA-ZUAZOLA-BELLOBI</t>
  </si>
  <si>
    <t>GONZALEZ-SERENA-PRINCEP-VALMAÑA</t>
  </si>
  <si>
    <t>ARMENGOL-COMAS-TAGLIAFERRO-MOLINE</t>
  </si>
  <si>
    <t>FEDERACIÓN ANDORRA</t>
  </si>
  <si>
    <t>beach club esportiu el pendulo NSRH</t>
  </si>
  <si>
    <t>beach club esportiu el pendulo MPME</t>
  </si>
  <si>
    <t>CLUB VOLEI PLATJA ARENYS</t>
  </si>
  <si>
    <t>CLUB ESPORTIU VOLEI PLATJA ROQUETES TTCI</t>
  </si>
  <si>
    <t>CLUB ESPORTIU VOLEI PLATJA ROQUETES BRZB</t>
  </si>
  <si>
    <t>CLUB ESPORTIU VOLEI PLATJA ROQUETES GSPV</t>
  </si>
  <si>
    <t>Inf Fem</t>
  </si>
  <si>
    <t>MARINAS-MASERAS-RODRIGUEZ-TONICO</t>
  </si>
  <si>
    <t>CV ESPLUGUES  PLOG</t>
  </si>
  <si>
    <t>PALOMERO-LOPEZ-ONTIVEROS-GIMENEZ</t>
  </si>
  <si>
    <t>CV SANT CUGAT  BLMS</t>
  </si>
  <si>
    <t>BAZ-LE TIEC-MUELA-SALVIA</t>
  </si>
  <si>
    <t>BARLEAN-SANCHEZ-UBACH-MARTIN-PONS</t>
  </si>
  <si>
    <t xml:space="preserve">CV A.V.A.P.  </t>
  </si>
  <si>
    <t>COLL-RIOS-MONJO-ROSELLO-MATEOS</t>
  </si>
  <si>
    <t>CV ESPLUGUES  CGSFA</t>
  </si>
  <si>
    <t>CROUS-GONZALEZ-STEF-FERRUS-AGOSTO</t>
  </si>
  <si>
    <t>CV SANT CUGAT  VSBG</t>
  </si>
  <si>
    <t>VALCARCE-SIMO-BELDA-GONZALEZ</t>
  </si>
  <si>
    <t xml:space="preserve">CEVOL TORREDEMBARRA </t>
  </si>
  <si>
    <t>PI-FERLOTTI-ALER-BORRAS</t>
  </si>
  <si>
    <t xml:space="preserve">CLUB NATACIÓ SABADELL </t>
  </si>
  <si>
    <t>GRANE-MATA-ALBALAT-BLANCO</t>
  </si>
  <si>
    <t>BEACH VOLLEY GARRAF</t>
  </si>
  <si>
    <t>CV ARENYS</t>
  </si>
  <si>
    <t>CLANCHET-CLANCHET</t>
  </si>
  <si>
    <t>TOCADOS-ESCUSA</t>
  </si>
  <si>
    <t>MATEOS-MARTINEZ</t>
  </si>
  <si>
    <t>ROIG-CALLEJO</t>
  </si>
  <si>
    <t>ESPEJO-COLL</t>
  </si>
  <si>
    <t>CARRASCO-TORRA</t>
  </si>
  <si>
    <t>NIETO-RISO</t>
  </si>
  <si>
    <t>GUILLEN-CAPDET</t>
  </si>
  <si>
    <t>BUJAN-DE VIGURI</t>
  </si>
  <si>
    <t>FINCIAS-BRUGAROLAS</t>
  </si>
  <si>
    <t>ROCA-GARFIAS</t>
  </si>
  <si>
    <t>BACULEA-FRIGOLA</t>
  </si>
  <si>
    <t>MARTIN-ATIENZA</t>
  </si>
  <si>
    <t>MUÑOZ-TORRERO-ORTEGA</t>
  </si>
  <si>
    <t>ARBE-CATALA</t>
  </si>
  <si>
    <t>PUIG-PORRAS</t>
  </si>
  <si>
    <t>PIQUET-CANOVAS</t>
  </si>
  <si>
    <t>RUIZ-VIDAL</t>
  </si>
  <si>
    <t>BLEI-DYEDUKH</t>
  </si>
  <si>
    <t xml:space="preserve">Creuaments </t>
  </si>
  <si>
    <t>1/8F1</t>
  </si>
  <si>
    <t>2n Grup F</t>
  </si>
  <si>
    <t>1/8F2</t>
  </si>
  <si>
    <t>1r Grup E</t>
  </si>
  <si>
    <t>1/8F3</t>
  </si>
  <si>
    <t>2n Grup E</t>
  </si>
  <si>
    <t>1/8F4</t>
  </si>
  <si>
    <t>1r Grup F</t>
  </si>
  <si>
    <t>Ganador 1/8F 1</t>
  </si>
  <si>
    <t>Guanyador 1/8F 2</t>
  </si>
  <si>
    <t>1r Grup D</t>
  </si>
  <si>
    <t>Guanyador 1/8F 3</t>
  </si>
  <si>
    <t>1r Grup C</t>
  </si>
  <si>
    <t>Guanyador 1/8F 4</t>
  </si>
  <si>
    <t>CV A.V.A.P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</si>
</sst>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2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21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Border="1"/>
    <xf numFmtId="20" fontId="0" fillId="0" borderId="1" xfId="0" applyNumberForma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0" fontId="0" fillId="0" borderId="1" xfId="0" applyFill="1" applyBorder="1" applyAlignment="1">
      <alignment horizontal="left"/>
    </xf>
    <xf numFmtId="0" fontId="8" fillId="0" borderId="0" xfId="0" applyFont="1" applyFill="1"/>
    <xf numFmtId="1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57150</xdr:rowOff>
    </xdr:from>
    <xdr:to>
      <xdr:col>9</xdr:col>
      <xdr:colOff>133572</xdr:colOff>
      <xdr:row>4</xdr:row>
      <xdr:rowOff>114299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57150"/>
          <a:ext cx="2610072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40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640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0" cy="1000125"/>
    <xdr:pic>
      <xdr:nvPicPr>
        <xdr:cNvPr id="5" name="image1.jpg" descr="logo FCVb 0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74450" y="13335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0</xdr:colOff>
      <xdr:row>7</xdr:row>
      <xdr:rowOff>0</xdr:rowOff>
    </xdr:from>
    <xdr:ext cx="0" cy="1000125"/>
    <xdr:pic>
      <xdr:nvPicPr>
        <xdr:cNvPr id="6" name="image1.jpg" descr="logo FCVb 0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74450" y="13335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0</xdr:colOff>
      <xdr:row>7</xdr:row>
      <xdr:rowOff>0</xdr:rowOff>
    </xdr:from>
    <xdr:ext cx="0" cy="1000125"/>
    <xdr:pic>
      <xdr:nvPicPr>
        <xdr:cNvPr id="7" name="image1.jpg" descr="logo FCVb 0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74450" y="13335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0</xdr:colOff>
      <xdr:row>7</xdr:row>
      <xdr:rowOff>0</xdr:rowOff>
    </xdr:from>
    <xdr:ext cx="0" cy="1000125"/>
    <xdr:pic>
      <xdr:nvPicPr>
        <xdr:cNvPr id="8" name="image1.jpg" descr="logo FCVb 0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74450" y="1333500"/>
          <a:ext cx="0" cy="1000125"/>
        </a:xfrm>
        <a:prstGeom prst="rect">
          <a:avLst/>
        </a:prstGeom>
        <a:noFill/>
      </xdr:spPr>
    </xdr:pic>
    <xdr:clientData fLocksWithSheet="0"/>
  </xdr:one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9" name="4 Imagen" descr="logo FCVb 09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445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10" name="3 Imagen" descr="logo FCVb 0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445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11" name="4 Imagen" descr="logo FCVb 09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445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12" name="3 Imagen" descr="logo FCVb 09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445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13" name="4 Imagen" descr="logo FCVb 0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445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14" name="3 Imagen" descr="logo FCVb 0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445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16" name="4 Imagen" descr="logo FCVb 0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17" name="3 Imagen" descr="logo FCVb 0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0</xdr:colOff>
      <xdr:row>7</xdr:row>
      <xdr:rowOff>0</xdr:rowOff>
    </xdr:from>
    <xdr:ext cx="0" cy="1000125"/>
    <xdr:pic>
      <xdr:nvPicPr>
        <xdr:cNvPr id="18" name="image1.jpg" descr="logo FCVb 0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88800" y="13335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0</xdr:colOff>
      <xdr:row>7</xdr:row>
      <xdr:rowOff>0</xdr:rowOff>
    </xdr:from>
    <xdr:ext cx="0" cy="1000125"/>
    <xdr:pic>
      <xdr:nvPicPr>
        <xdr:cNvPr id="19" name="image1.jpg" descr="logo FCVb 0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88800" y="13335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0</xdr:colOff>
      <xdr:row>7</xdr:row>
      <xdr:rowOff>0</xdr:rowOff>
    </xdr:from>
    <xdr:ext cx="0" cy="1000125"/>
    <xdr:pic>
      <xdr:nvPicPr>
        <xdr:cNvPr id="20" name="image1.jpg" descr="logo FCVb 0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88800" y="13335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0</xdr:colOff>
      <xdr:row>7</xdr:row>
      <xdr:rowOff>0</xdr:rowOff>
    </xdr:from>
    <xdr:ext cx="0" cy="1000125"/>
    <xdr:pic>
      <xdr:nvPicPr>
        <xdr:cNvPr id="21" name="image1.jpg" descr="logo FCVb 0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88800" y="1333500"/>
          <a:ext cx="0" cy="1000125"/>
        </a:xfrm>
        <a:prstGeom prst="rect">
          <a:avLst/>
        </a:prstGeom>
        <a:noFill/>
      </xdr:spPr>
    </xdr:pic>
    <xdr:clientData fLocksWithSheet="0"/>
  </xdr:one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22" name="4 Imagen" descr="logo FCVb 09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23" name="3 Imagen" descr="logo FCVb 0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24" name="4 Imagen" descr="logo FCVb 09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25" name="3 Imagen" descr="logo FCVb 09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26" name="4 Imagen" descr="logo FCVb 09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7</xdr:row>
      <xdr:rowOff>179282</xdr:rowOff>
    </xdr:from>
    <xdr:to>
      <xdr:col>20</xdr:col>
      <xdr:colOff>0</xdr:colOff>
      <xdr:row>12</xdr:row>
      <xdr:rowOff>188686</xdr:rowOff>
    </xdr:to>
    <xdr:pic>
      <xdr:nvPicPr>
        <xdr:cNvPr id="27" name="3 Imagen" descr="logo FCVb 09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0" y="1512782"/>
          <a:ext cx="0" cy="1390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359077</xdr:colOff>
      <xdr:row>1</xdr:row>
      <xdr:rowOff>100134</xdr:rowOff>
    </xdr:from>
    <xdr:to>
      <xdr:col>7</xdr:col>
      <xdr:colOff>871382</xdr:colOff>
      <xdr:row>6</xdr:row>
      <xdr:rowOff>38099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5477" y="290634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6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0" y="179282"/>
          <a:ext cx="0" cy="115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6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0" y="179282"/>
          <a:ext cx="0" cy="1152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0</xdr:colOff>
      <xdr:row>68</xdr:row>
      <xdr:rowOff>0</xdr:rowOff>
    </xdr:from>
    <xdr:ext cx="0" cy="1000125"/>
    <xdr:pic>
      <xdr:nvPicPr>
        <xdr:cNvPr id="5" name="image1.jpg" descr="logo FCVb 0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448056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6" name="image1.jpg" descr="logo FCVb 0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448056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7" name="image1.jpg" descr="logo FCVb 0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448056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8" name="image1.jpg" descr="logo FCVb 0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44805600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15" name="image1.jpg" descr="logo FCVb 0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50244375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16" name="image1.jpg" descr="logo FCVb 0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50244375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17" name="image1.jpg" descr="logo FCVb 09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50244375"/>
          <a:ext cx="0" cy="1000125"/>
        </a:xfrm>
        <a:prstGeom prst="rect">
          <a:avLst/>
        </a:prstGeom>
        <a:noFill/>
      </xdr:spPr>
    </xdr:pic>
    <xdr:clientData fLocksWithSheet="0"/>
  </xdr:oneCellAnchor>
  <xdr:oneCellAnchor>
    <xdr:from>
      <xdr:col>19</xdr:col>
      <xdr:colOff>0</xdr:colOff>
      <xdr:row>68</xdr:row>
      <xdr:rowOff>0</xdr:rowOff>
    </xdr:from>
    <xdr:ext cx="0" cy="1000125"/>
    <xdr:pic>
      <xdr:nvPicPr>
        <xdr:cNvPr id="18" name="image1.jpg" descr="logo FCVb 0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97800" y="50244375"/>
          <a:ext cx="0" cy="10001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206677</xdr:colOff>
      <xdr:row>1</xdr:row>
      <xdr:rowOff>14409</xdr:rowOff>
    </xdr:from>
    <xdr:to>
      <xdr:col>8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0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206677</xdr:colOff>
      <xdr:row>1</xdr:row>
      <xdr:rowOff>14409</xdr:rowOff>
    </xdr:from>
    <xdr:to>
      <xdr:col>8</xdr:col>
      <xdr:colOff>718982</xdr:colOff>
      <xdr:row>5</xdr:row>
      <xdr:rowOff>142874</xdr:rowOff>
    </xdr:to>
    <xdr:pic>
      <xdr:nvPicPr>
        <xdr:cNvPr id="5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0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6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7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206677</xdr:colOff>
      <xdr:row>1</xdr:row>
      <xdr:rowOff>14409</xdr:rowOff>
    </xdr:from>
    <xdr:to>
      <xdr:col>8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6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7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7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206677</xdr:colOff>
      <xdr:row>1</xdr:row>
      <xdr:rowOff>14409</xdr:rowOff>
    </xdr:from>
    <xdr:to>
      <xdr:col>8</xdr:col>
      <xdr:colOff>718982</xdr:colOff>
      <xdr:row>5</xdr:row>
      <xdr:rowOff>142874</xdr:rowOff>
    </xdr:to>
    <xdr:pic>
      <xdr:nvPicPr>
        <xdr:cNvPr id="5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96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6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7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0</xdr:colOff>
      <xdr:row>0</xdr:row>
      <xdr:rowOff>179282</xdr:rowOff>
    </xdr:from>
    <xdr:to>
      <xdr:col>20</xdr:col>
      <xdr:colOff>0</xdr:colOff>
      <xdr:row>5</xdr:row>
      <xdr:rowOff>188686</xdr:rowOff>
    </xdr:to>
    <xdr:pic>
      <xdr:nvPicPr>
        <xdr:cNvPr id="7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76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206677</xdr:colOff>
      <xdr:row>1</xdr:row>
      <xdr:rowOff>14409</xdr:rowOff>
    </xdr:from>
    <xdr:to>
      <xdr:col>8</xdr:col>
      <xdr:colOff>718982</xdr:colOff>
      <xdr:row>5</xdr:row>
      <xdr:rowOff>142874</xdr:rowOff>
    </xdr:to>
    <xdr:pic>
      <xdr:nvPicPr>
        <xdr:cNvPr id="2" name="1 Imagen" descr="logo FCVb 0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7002" y="204909"/>
          <a:ext cx="2036305" cy="89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3" name="4 Imagen" descr="logo FCVb 0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0</xdr:colOff>
      <xdr:row>0</xdr:row>
      <xdr:rowOff>179282</xdr:rowOff>
    </xdr:from>
    <xdr:to>
      <xdr:col>19</xdr:col>
      <xdr:colOff>0</xdr:colOff>
      <xdr:row>5</xdr:row>
      <xdr:rowOff>188686</xdr:rowOff>
    </xdr:to>
    <xdr:pic>
      <xdr:nvPicPr>
        <xdr:cNvPr id="4" name="3 Imagen" descr="logo FCVb 0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79282"/>
          <a:ext cx="0" cy="961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>
      <selection activeCell="D10" sqref="D10"/>
    </sheetView>
  </sheetViews>
  <sheetFormatPr baseColWidth="10" defaultColWidth="12.88671875" defaultRowHeight="14.4" x14ac:dyDescent="0.3"/>
  <cols>
    <col min="1" max="1" width="10" customWidth="1"/>
    <col min="2" max="2" width="6.5546875" bestFit="1" customWidth="1"/>
    <col min="3" max="3" width="39" bestFit="1" customWidth="1"/>
    <col min="4" max="4" width="36.88671875" bestFit="1" customWidth="1"/>
    <col min="5" max="6" width="21.5546875" customWidth="1"/>
    <col min="7" max="7" width="21" customWidth="1"/>
    <col min="9" max="9" width="39" bestFit="1" customWidth="1"/>
    <col min="10" max="10" width="17.44140625" bestFit="1" customWidth="1"/>
    <col min="17" max="17" width="23.6640625" bestFit="1" customWidth="1"/>
    <col min="23" max="23" width="18.109375" bestFit="1" customWidth="1"/>
  </cols>
  <sheetData>
    <row r="1" spans="1:25" ht="15" customHeight="1" x14ac:dyDescent="0.3">
      <c r="A1" s="57" t="s">
        <v>64</v>
      </c>
      <c r="B1" s="57"/>
      <c r="C1" s="57"/>
      <c r="D1" s="58"/>
      <c r="E1" s="58"/>
      <c r="F1" s="56" t="s">
        <v>63</v>
      </c>
      <c r="G1" s="30">
        <v>0.375</v>
      </c>
    </row>
    <row r="2" spans="1:25" ht="15" customHeight="1" x14ac:dyDescent="0.3">
      <c r="A2" s="57"/>
      <c r="B2" s="57"/>
      <c r="C2" s="57"/>
      <c r="D2" s="58"/>
      <c r="E2" s="58"/>
      <c r="F2" s="31" t="s">
        <v>66</v>
      </c>
      <c r="G2" s="44">
        <v>1.7361111111111112E-2</v>
      </c>
    </row>
    <row r="3" spans="1:25" ht="15" customHeight="1" x14ac:dyDescent="0.3">
      <c r="A3" s="57"/>
      <c r="B3" s="57"/>
      <c r="C3" s="57"/>
      <c r="D3" s="58"/>
      <c r="E3" s="58"/>
      <c r="F3" s="31" t="s">
        <v>43</v>
      </c>
      <c r="G3" s="4">
        <v>4</v>
      </c>
    </row>
    <row r="4" spans="1:25" ht="15" customHeight="1" x14ac:dyDescent="0.3">
      <c r="A4" s="57"/>
      <c r="B4" s="57"/>
      <c r="C4" s="57"/>
      <c r="D4" s="58"/>
      <c r="E4" s="58"/>
      <c r="F4" s="31" t="s">
        <v>44</v>
      </c>
      <c r="G4" s="34">
        <v>10</v>
      </c>
    </row>
    <row r="5" spans="1:25" ht="15" customHeight="1" x14ac:dyDescent="0.3">
      <c r="A5" s="57"/>
      <c r="B5" s="57"/>
      <c r="C5" s="57"/>
      <c r="D5" s="58"/>
      <c r="E5" s="58"/>
      <c r="G5" s="34">
        <v>11</v>
      </c>
    </row>
    <row r="6" spans="1:25" ht="15" customHeight="1" x14ac:dyDescent="0.3"/>
    <row r="7" spans="1:25" ht="23.25" customHeight="1" x14ac:dyDescent="0.35">
      <c r="H7" s="8" t="s">
        <v>7</v>
      </c>
      <c r="I7" s="9" t="s">
        <v>8</v>
      </c>
      <c r="J7" s="4" t="s">
        <v>9</v>
      </c>
      <c r="K7" s="4" t="s">
        <v>10</v>
      </c>
      <c r="L7" s="4" t="s">
        <v>11</v>
      </c>
      <c r="M7" s="10" t="s">
        <v>12</v>
      </c>
      <c r="N7" s="10" t="s">
        <v>16</v>
      </c>
      <c r="O7" s="7"/>
      <c r="P7" s="4" t="s">
        <v>14</v>
      </c>
      <c r="Q7" s="4" t="s">
        <v>8</v>
      </c>
      <c r="T7" s="7"/>
      <c r="V7" s="7"/>
      <c r="W7" s="7"/>
      <c r="X7" s="7"/>
    </row>
    <row r="8" spans="1:25" s="7" customFormat="1" ht="23.25" customHeight="1" x14ac:dyDescent="0.35">
      <c r="A8" s="4" t="s">
        <v>1</v>
      </c>
      <c r="B8" s="4" t="s">
        <v>2</v>
      </c>
      <c r="C8" s="10" t="s">
        <v>3</v>
      </c>
      <c r="D8" s="10" t="s">
        <v>4</v>
      </c>
      <c r="E8" s="10" t="s">
        <v>6</v>
      </c>
      <c r="F8" s="10" t="s">
        <v>6</v>
      </c>
      <c r="H8" s="8">
        <f>RANK(N8,N8:N10,0)</f>
        <v>1</v>
      </c>
      <c r="I8" s="45" t="s">
        <v>127</v>
      </c>
      <c r="J8" s="4">
        <f>(IF(E9&gt;F9,1,IF(E9&lt;F9,0,))+(IF(E11&gt;F11,1,IF(E11&lt;F11,0,))))</f>
        <v>0</v>
      </c>
      <c r="K8" s="4">
        <f>E9+E11</f>
        <v>0</v>
      </c>
      <c r="L8" s="4">
        <f>F9+F11</f>
        <v>0</v>
      </c>
      <c r="M8" s="13" t="str">
        <f>IFERROR(K8/L8,"Max")</f>
        <v>Max</v>
      </c>
      <c r="N8" s="13">
        <f>IF(M8="Max",400,(J8*100)+M8)</f>
        <v>400</v>
      </c>
      <c r="P8" s="14">
        <v>1</v>
      </c>
      <c r="Q8" s="8" t="str">
        <f>IF($J8+$J9+$J10=3,INDEX(I8:I10,MATCH($P8,H8:H10,0)),"Pdte")</f>
        <v>Pdte</v>
      </c>
      <c r="U8"/>
      <c r="V8"/>
      <c r="W8"/>
    </row>
    <row r="9" spans="1:25" ht="23.25" customHeight="1" x14ac:dyDescent="0.35">
      <c r="A9" s="11">
        <f>$G$1+$G$2*2</f>
        <v>0.40972222222222221</v>
      </c>
      <c r="B9" s="4">
        <f>G4</f>
        <v>10</v>
      </c>
      <c r="C9" s="10" t="str">
        <f>I8</f>
        <v>CLANCHET-CLANCHET</v>
      </c>
      <c r="D9" s="10" t="str">
        <f>I10</f>
        <v>MATEOS-MARTINEZ</v>
      </c>
      <c r="E9" s="36"/>
      <c r="F9" s="37"/>
      <c r="H9" s="8">
        <f>RANK(N9,N8:N10,0)</f>
        <v>1</v>
      </c>
      <c r="I9" s="10" t="s">
        <v>128</v>
      </c>
      <c r="J9" s="4">
        <f>(IF(E10&gt;F10,1,IF(E10&lt;F10,0,))+(IF(F11&gt;E11,1,IF(F11&lt;E11,0,))))</f>
        <v>0</v>
      </c>
      <c r="K9" s="4">
        <f>E10+F11</f>
        <v>0</v>
      </c>
      <c r="L9" s="4">
        <f>F10+E11</f>
        <v>0</v>
      </c>
      <c r="M9" s="13" t="str">
        <f>IFERROR(K9/L9,"Max")</f>
        <v>Max</v>
      </c>
      <c r="N9" s="13">
        <f>IF(M9="Max",400,(J9*100)+M9)</f>
        <v>400</v>
      </c>
      <c r="O9" s="7"/>
      <c r="P9" s="14">
        <v>2</v>
      </c>
      <c r="Q9" s="8" t="str">
        <f>IF($J9+$J10+$J8=3,INDEX(I8:I10,MATCH($P9,H8:H10,0)),"Pdte")</f>
        <v>Pdte</v>
      </c>
      <c r="R9" s="7"/>
      <c r="S9" s="7"/>
      <c r="W9" s="7"/>
      <c r="X9" s="7"/>
    </row>
    <row r="10" spans="1:25" ht="23.25" customHeight="1" x14ac:dyDescent="0.35">
      <c r="A10" s="11">
        <f>A19+$G$2</f>
        <v>0.46180555555555552</v>
      </c>
      <c r="B10" s="4">
        <f>G4</f>
        <v>10</v>
      </c>
      <c r="C10" s="10" t="str">
        <f>I9</f>
        <v>TOCADOS-ESCUSA</v>
      </c>
      <c r="D10" s="10" t="str">
        <f>I10</f>
        <v>MATEOS-MARTINEZ</v>
      </c>
      <c r="E10" s="36"/>
      <c r="F10" s="37"/>
      <c r="H10" s="8">
        <f>RANK(N10,N8:N10,0)</f>
        <v>1</v>
      </c>
      <c r="I10" s="10" t="s">
        <v>129</v>
      </c>
      <c r="J10" s="4">
        <f>(IF(F9&gt;E9,1,IF(F9&lt;E9,0,))+(IF(F10&gt;E10,1,IF(F10&lt;E10,0,))))</f>
        <v>0</v>
      </c>
      <c r="K10" s="4">
        <f>F9+F10</f>
        <v>0</v>
      </c>
      <c r="L10" s="4">
        <f>E9+E10</f>
        <v>0</v>
      </c>
      <c r="M10" s="13" t="str">
        <f>IFERROR(K10/L10,"Max")</f>
        <v>Max</v>
      </c>
      <c r="N10" s="13">
        <f>IF(M10="Max",400,(J10*100)+M10)</f>
        <v>400</v>
      </c>
      <c r="O10" s="7"/>
      <c r="P10" s="14">
        <v>3</v>
      </c>
      <c r="Q10" s="8" t="str">
        <f>IF($J10+$J9+$J8=3,INDEX(I8:I10,MATCH($P10,H8:H10,0)),"Pdte")</f>
        <v>Pdte</v>
      </c>
      <c r="R10" s="7"/>
      <c r="S10" s="7"/>
      <c r="V10" s="7"/>
      <c r="W10" s="7"/>
      <c r="X10" s="7"/>
    </row>
    <row r="11" spans="1:25" ht="23.25" customHeight="1" x14ac:dyDescent="0.3">
      <c r="A11" s="11">
        <f>A20+$G$2</f>
        <v>0.51388888888888884</v>
      </c>
      <c r="B11" s="4">
        <f>G4</f>
        <v>10</v>
      </c>
      <c r="C11" s="10" t="str">
        <f>I8</f>
        <v>CLANCHET-CLANCHET</v>
      </c>
      <c r="D11" s="10" t="str">
        <f>I9</f>
        <v>TOCADOS-ESCUSA</v>
      </c>
      <c r="E11" s="36"/>
      <c r="F11" s="3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V11" s="7"/>
      <c r="W11" s="7"/>
      <c r="Y11" s="7"/>
    </row>
    <row r="12" spans="1:25" s="7" customFormat="1" ht="23.25" customHeight="1" x14ac:dyDescent="0.35">
      <c r="A12"/>
      <c r="B12"/>
      <c r="H12" s="8" t="s">
        <v>7</v>
      </c>
      <c r="I12" s="9" t="s">
        <v>15</v>
      </c>
      <c r="J12" s="4" t="s">
        <v>9</v>
      </c>
      <c r="K12" s="4" t="s">
        <v>10</v>
      </c>
      <c r="L12" s="4" t="s">
        <v>11</v>
      </c>
      <c r="M12" s="10" t="s">
        <v>12</v>
      </c>
      <c r="N12" s="10" t="s">
        <v>16</v>
      </c>
      <c r="P12" s="4" t="s">
        <v>14</v>
      </c>
      <c r="Q12" s="4" t="s">
        <v>15</v>
      </c>
      <c r="T12"/>
    </row>
    <row r="13" spans="1:25" s="7" customFormat="1" ht="23.25" customHeight="1" x14ac:dyDescent="0.35">
      <c r="A13" s="4" t="s">
        <v>1</v>
      </c>
      <c r="B13" s="4" t="s">
        <v>2</v>
      </c>
      <c r="C13" s="10" t="s">
        <v>3</v>
      </c>
      <c r="D13" s="10" t="s">
        <v>4</v>
      </c>
      <c r="E13" s="10" t="s">
        <v>6</v>
      </c>
      <c r="F13" s="10" t="s">
        <v>6</v>
      </c>
      <c r="H13" s="8">
        <f>RANK(N13,N13:N15,0)</f>
        <v>1</v>
      </c>
      <c r="I13" s="10" t="s">
        <v>130</v>
      </c>
      <c r="J13" s="4">
        <f>(IF(E14&gt;F14,1,IF(E14&lt;F14,0,))+(IF(E16&gt;F16,1,IF(E16&lt;F16,0,))))</f>
        <v>0</v>
      </c>
      <c r="K13" s="4">
        <f>E14+E16</f>
        <v>0</v>
      </c>
      <c r="L13" s="4">
        <f>F14+F16</f>
        <v>0</v>
      </c>
      <c r="M13" s="13" t="str">
        <f>IFERROR(K13/L13,"Max")</f>
        <v>Max</v>
      </c>
      <c r="N13" s="13">
        <f>IF(M13="Max",400,(J13*100)+M13)</f>
        <v>400</v>
      </c>
      <c r="P13" s="14">
        <v>1</v>
      </c>
      <c r="Q13" s="8" t="str">
        <f>IF($J13+$J14+$J15=3,INDEX(I13:I15,MATCH($P13,H13:H15,0)),"Pdte")</f>
        <v>Pdte</v>
      </c>
    </row>
    <row r="14" spans="1:25" ht="23.25" customHeight="1" x14ac:dyDescent="0.35">
      <c r="A14" s="11">
        <f>A9+$G$2</f>
        <v>0.42708333333333331</v>
      </c>
      <c r="B14" s="4">
        <f>G4</f>
        <v>10</v>
      </c>
      <c r="C14" s="10" t="str">
        <f>I13</f>
        <v>ROIG-CALLEJO</v>
      </c>
      <c r="D14" s="10" t="str">
        <f>I15</f>
        <v>CARRASCO-TORRA</v>
      </c>
      <c r="E14" s="38"/>
      <c r="F14" s="39"/>
      <c r="H14" s="8">
        <f>RANK(N14,N13:N15,0)</f>
        <v>1</v>
      </c>
      <c r="I14" s="10" t="s">
        <v>131</v>
      </c>
      <c r="J14" s="4">
        <f>(IF(E15&gt;F15,1,IF(E15&lt;F15,0,))+(IF(F16&gt;E16,1,IF(F16&lt;E16,0,))))</f>
        <v>0</v>
      </c>
      <c r="K14" s="4">
        <f>E15+F16</f>
        <v>0</v>
      </c>
      <c r="L14" s="4">
        <f>F15+E16</f>
        <v>0</v>
      </c>
      <c r="M14" s="13" t="str">
        <f>IFERROR(K14/L14,"Max")</f>
        <v>Max</v>
      </c>
      <c r="N14" s="13">
        <f>IF(M14="Max",400,(J14*100)+M14)</f>
        <v>400</v>
      </c>
      <c r="O14" s="7"/>
      <c r="P14" s="14">
        <v>2</v>
      </c>
      <c r="Q14" s="8" t="str">
        <f>IF($J14+$J15+$J13=3,INDEX(I13:I15,MATCH($P14,H13:H15,0)),"Pdte")</f>
        <v>Pdte</v>
      </c>
      <c r="R14" s="7"/>
      <c r="S14" s="7"/>
    </row>
    <row r="15" spans="1:25" ht="23.25" customHeight="1" x14ac:dyDescent="0.35">
      <c r="A15" s="11">
        <f>A10+$G$2</f>
        <v>0.47916666666666663</v>
      </c>
      <c r="B15" s="4">
        <f>G4</f>
        <v>10</v>
      </c>
      <c r="C15" s="10" t="str">
        <f>I14</f>
        <v>ESPEJO-COLL</v>
      </c>
      <c r="D15" s="10" t="str">
        <f>I15</f>
        <v>CARRASCO-TORRA</v>
      </c>
      <c r="E15" s="38"/>
      <c r="F15" s="39"/>
      <c r="H15" s="8">
        <f>RANK(N15,N13:N15,0)</f>
        <v>1</v>
      </c>
      <c r="I15" s="10" t="s">
        <v>132</v>
      </c>
      <c r="J15" s="4">
        <f>(IF(F14&gt;E14,1,IF(F14&lt;E14,0,))+(IF(F15&gt;E15,1,IF(F15&lt;E15,0,))))</f>
        <v>0</v>
      </c>
      <c r="K15" s="4">
        <f>F14+F15</f>
        <v>0</v>
      </c>
      <c r="L15" s="4">
        <f>E14+E15</f>
        <v>0</v>
      </c>
      <c r="M15" s="13" t="str">
        <f>IFERROR(K15/L15,"Max")</f>
        <v>Max</v>
      </c>
      <c r="N15" s="13">
        <f>IF(M15="Max",400,(J15*100)+M15)</f>
        <v>400</v>
      </c>
      <c r="O15" s="7"/>
      <c r="P15" s="14">
        <v>3</v>
      </c>
      <c r="Q15" s="8" t="str">
        <f>IF($J15+$J14+$J13=3,INDEX(I13:I15,MATCH($P15,H13:H15,0)),"Pdte")</f>
        <v>Pdte</v>
      </c>
      <c r="R15" s="7"/>
      <c r="S15" s="7"/>
    </row>
    <row r="16" spans="1:25" ht="23.25" customHeight="1" x14ac:dyDescent="0.3">
      <c r="A16" s="11">
        <f>A11+$G$2</f>
        <v>0.53125</v>
      </c>
      <c r="B16" s="4">
        <f>G4</f>
        <v>10</v>
      </c>
      <c r="C16" s="10" t="str">
        <f>I13</f>
        <v>ROIG-CALLEJO</v>
      </c>
      <c r="D16" s="10" t="str">
        <f>I14</f>
        <v>ESPEJO-COLL</v>
      </c>
      <c r="E16" s="38"/>
      <c r="F16" s="3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7" customFormat="1" ht="23.25" customHeight="1" x14ac:dyDescent="0.35">
      <c r="A17"/>
      <c r="B17"/>
      <c r="H17" s="8" t="s">
        <v>7</v>
      </c>
      <c r="I17" s="9" t="s">
        <v>17</v>
      </c>
      <c r="J17" s="4" t="s">
        <v>9</v>
      </c>
      <c r="K17" s="4" t="s">
        <v>10</v>
      </c>
      <c r="L17" s="4" t="s">
        <v>11</v>
      </c>
      <c r="M17" s="10" t="s">
        <v>12</v>
      </c>
      <c r="N17" s="10" t="s">
        <v>16</v>
      </c>
      <c r="P17" s="4" t="s">
        <v>14</v>
      </c>
      <c r="Q17" s="4" t="s">
        <v>17</v>
      </c>
    </row>
    <row r="18" spans="1:19" s="7" customFormat="1" ht="23.25" customHeight="1" x14ac:dyDescent="0.35">
      <c r="A18" s="4" t="s">
        <v>1</v>
      </c>
      <c r="B18" s="4" t="s">
        <v>2</v>
      </c>
      <c r="C18" s="10" t="s">
        <v>3</v>
      </c>
      <c r="D18" s="10" t="s">
        <v>4</v>
      </c>
      <c r="E18" s="10" t="s">
        <v>6</v>
      </c>
      <c r="F18" s="10" t="s">
        <v>6</v>
      </c>
      <c r="H18" s="8">
        <f>RANK(N18,N18:N20,0)</f>
        <v>1</v>
      </c>
      <c r="I18" s="10" t="s">
        <v>133</v>
      </c>
      <c r="J18" s="4">
        <f>(IF(E19&gt;F19,1,IF(E19&lt;F19,0,))+(IF(E21&gt;F21,1,IF(E21&lt;F21,0,))))</f>
        <v>0</v>
      </c>
      <c r="K18" s="4">
        <f>E19+E21</f>
        <v>0</v>
      </c>
      <c r="L18" s="4">
        <f>F19+F21</f>
        <v>0</v>
      </c>
      <c r="M18" s="13" t="str">
        <f>IFERROR(K18/L18,"Max")</f>
        <v>Max</v>
      </c>
      <c r="N18" s="13">
        <f>IF(M18="Max",400,(J18*100)+M18)</f>
        <v>400</v>
      </c>
      <c r="P18" s="14">
        <v>1</v>
      </c>
      <c r="Q18" s="8" t="str">
        <f>IF($J18+$J19+$J20=3,INDEX(I18:I20,MATCH($P18,H18:H20,0)),"Pdte")</f>
        <v>Pdte</v>
      </c>
    </row>
    <row r="19" spans="1:19" ht="23.25" customHeight="1" x14ac:dyDescent="0.35">
      <c r="A19" s="11">
        <f>A14+$G$2</f>
        <v>0.44444444444444442</v>
      </c>
      <c r="B19" s="4">
        <f>G4</f>
        <v>10</v>
      </c>
      <c r="C19" s="10" t="str">
        <f>I18</f>
        <v>NIETO-RISO</v>
      </c>
      <c r="D19" s="10" t="str">
        <f>I20</f>
        <v>BUJAN-DE VIGURI</v>
      </c>
      <c r="E19" s="38"/>
      <c r="F19" s="39"/>
      <c r="H19" s="8">
        <f>RANK(N19,N18:N20,0)</f>
        <v>1</v>
      </c>
      <c r="I19" s="10" t="s">
        <v>134</v>
      </c>
      <c r="J19" s="4">
        <f>(IF(E20&gt;F20,1,IF(E20&lt;F20,0,))+(IF(F21&gt;E21,1,IF(F21&lt;E21,0,))))</f>
        <v>0</v>
      </c>
      <c r="K19" s="4">
        <f>E20+F21</f>
        <v>0</v>
      </c>
      <c r="L19" s="4">
        <f>F20+E21</f>
        <v>0</v>
      </c>
      <c r="M19" s="13" t="str">
        <f>IFERROR(K19/L19,"Max")</f>
        <v>Max</v>
      </c>
      <c r="N19" s="13">
        <f>IF(M19="Max",400,(J19*100)+M19)</f>
        <v>400</v>
      </c>
      <c r="O19" s="7"/>
      <c r="P19" s="14">
        <v>2</v>
      </c>
      <c r="Q19" s="8" t="str">
        <f>IF($J19+$J20+$J18=3,INDEX(I18:I20,MATCH($P19,H18:H20,0)),"Pdte")</f>
        <v>Pdte</v>
      </c>
      <c r="R19" s="7"/>
      <c r="S19" s="7"/>
    </row>
    <row r="20" spans="1:19" ht="23.25" customHeight="1" x14ac:dyDescent="0.35">
      <c r="A20" s="11">
        <f>A15+$G$2</f>
        <v>0.49652777777777773</v>
      </c>
      <c r="B20" s="4">
        <f>G4</f>
        <v>10</v>
      </c>
      <c r="C20" s="10" t="str">
        <f>I19</f>
        <v>GUILLEN-CAPDET</v>
      </c>
      <c r="D20" s="10" t="str">
        <f>I20</f>
        <v>BUJAN-DE VIGURI</v>
      </c>
      <c r="E20" s="40"/>
      <c r="F20" s="41"/>
      <c r="H20" s="8">
        <f>RANK(N20,N18:N20,0)</f>
        <v>1</v>
      </c>
      <c r="I20" s="10" t="s">
        <v>135</v>
      </c>
      <c r="J20" s="4">
        <f>(IF(F19&gt;E19,1,IF(F19&lt;E19,0,))+(IF(F20&gt;E20,1,IF(F20&lt;E20,0,))))</f>
        <v>0</v>
      </c>
      <c r="K20" s="4">
        <f>F19+F20</f>
        <v>0</v>
      </c>
      <c r="L20" s="4">
        <f>E19+E20</f>
        <v>0</v>
      </c>
      <c r="M20" s="13" t="str">
        <f>IFERROR(K20/L20,"Max")</f>
        <v>Max</v>
      </c>
      <c r="N20" s="13">
        <f>IF(M20="Max",400,(J20*100)+M20)</f>
        <v>400</v>
      </c>
      <c r="O20" s="7"/>
      <c r="P20" s="14">
        <v>3</v>
      </c>
      <c r="Q20" s="8" t="str">
        <f>IF($J20+$J19+$J18=3,INDEX(I18:I20,MATCH($P20,H18:H20,0)),"Pdte")</f>
        <v>Pdte</v>
      </c>
      <c r="R20" s="7"/>
      <c r="S20" s="7"/>
    </row>
    <row r="21" spans="1:19" ht="23.25" customHeight="1" x14ac:dyDescent="0.3">
      <c r="A21" s="11">
        <f>A16+$G$2</f>
        <v>0.54861111111111116</v>
      </c>
      <c r="B21" s="4">
        <f>G4</f>
        <v>10</v>
      </c>
      <c r="C21" s="10" t="str">
        <f>I18</f>
        <v>NIETO-RISO</v>
      </c>
      <c r="D21" s="10" t="str">
        <f>I19</f>
        <v>GUILLEN-CAPDET</v>
      </c>
      <c r="E21" s="40"/>
      <c r="F21" s="4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7" customFormat="1" ht="23.25" customHeight="1" x14ac:dyDescent="0.35">
      <c r="A22"/>
      <c r="B22"/>
      <c r="H22" s="8" t="s">
        <v>7</v>
      </c>
      <c r="I22" s="9" t="s">
        <v>18</v>
      </c>
      <c r="J22" s="4" t="s">
        <v>9</v>
      </c>
      <c r="K22" s="4" t="s">
        <v>10</v>
      </c>
      <c r="L22" s="4" t="s">
        <v>11</v>
      </c>
      <c r="M22" s="10" t="s">
        <v>12</v>
      </c>
      <c r="N22" s="10" t="s">
        <v>16</v>
      </c>
      <c r="P22" s="4" t="s">
        <v>14</v>
      </c>
      <c r="Q22" s="4" t="s">
        <v>18</v>
      </c>
    </row>
    <row r="23" spans="1:19" s="7" customFormat="1" ht="23.25" customHeight="1" x14ac:dyDescent="0.35">
      <c r="A23" s="4" t="s">
        <v>1</v>
      </c>
      <c r="B23" s="4" t="s">
        <v>2</v>
      </c>
      <c r="C23" s="10" t="s">
        <v>3</v>
      </c>
      <c r="D23" s="10" t="s">
        <v>4</v>
      </c>
      <c r="E23" s="10" t="s">
        <v>6</v>
      </c>
      <c r="F23" s="10" t="s">
        <v>6</v>
      </c>
      <c r="H23" s="8">
        <f>RANK(N23,N23:N25,0)</f>
        <v>1</v>
      </c>
      <c r="I23" s="10" t="s">
        <v>136</v>
      </c>
      <c r="J23" s="4">
        <f>(IF(E24&gt;F24,1,IF(E24&lt;F24,0,))+(IF(E26&gt;F26,1,IF(E26&lt;F26,0,))))</f>
        <v>0</v>
      </c>
      <c r="K23" s="4">
        <f>E24+E26</f>
        <v>0</v>
      </c>
      <c r="L23" s="4">
        <f>F24+F26</f>
        <v>0</v>
      </c>
      <c r="M23" s="13" t="str">
        <f>IFERROR(K23/L23,"Max")</f>
        <v>Max</v>
      </c>
      <c r="N23" s="13">
        <f>IF(M23="Max",400,(J23*100)+M23)</f>
        <v>400</v>
      </c>
      <c r="P23" s="14">
        <v>1</v>
      </c>
      <c r="Q23" s="8" t="str">
        <f>IF($J23+$J24+$J25=3,INDEX(I23:I25,MATCH($P23,H23:H25,0)),"Pdte")</f>
        <v>Pdte</v>
      </c>
    </row>
    <row r="24" spans="1:19" ht="23.25" customHeight="1" x14ac:dyDescent="0.35">
      <c r="A24" s="11">
        <f>A35+$G$2</f>
        <v>0.40972222222222221</v>
      </c>
      <c r="B24" s="4">
        <f>G5</f>
        <v>11</v>
      </c>
      <c r="C24" s="10" t="str">
        <f>I23</f>
        <v>FINCIAS-BRUGAROLAS</v>
      </c>
      <c r="D24" s="10" t="str">
        <f>I25</f>
        <v>BACULEA-FRIGOLA</v>
      </c>
      <c r="E24" s="38"/>
      <c r="F24" s="39"/>
      <c r="H24" s="8">
        <f>RANK(N24,N23:N25,0)</f>
        <v>1</v>
      </c>
      <c r="I24" s="10" t="s">
        <v>137</v>
      </c>
      <c r="J24" s="4">
        <f>(IF(E25&gt;F25,1,IF(E25&lt;F25,0,))+(IF(F26&gt;E26,1,IF(F26&lt;E26,0,))))</f>
        <v>0</v>
      </c>
      <c r="K24" s="4">
        <f>E25+F26</f>
        <v>0</v>
      </c>
      <c r="L24" s="4">
        <f>F25+E26</f>
        <v>0</v>
      </c>
      <c r="M24" s="13" t="str">
        <f>IFERROR(K24/L24,"Max")</f>
        <v>Max</v>
      </c>
      <c r="N24" s="13">
        <f>IF(M24="Max",400,(J24*100)+M24)</f>
        <v>400</v>
      </c>
      <c r="O24" s="7"/>
      <c r="P24" s="14">
        <v>2</v>
      </c>
      <c r="Q24" s="8" t="str">
        <f>IF($J24+$J25+$J23=3,INDEX(I23:I25,MATCH($P24,H23:H25,0)),"Pdte")</f>
        <v>Pdte</v>
      </c>
      <c r="R24" s="7"/>
      <c r="S24" s="7"/>
    </row>
    <row r="25" spans="1:19" ht="23.25" customHeight="1" x14ac:dyDescent="0.35">
      <c r="A25" s="11">
        <f>A37+$G$2</f>
        <v>0.47916666666666663</v>
      </c>
      <c r="B25" s="4">
        <f>G5</f>
        <v>11</v>
      </c>
      <c r="C25" s="10" t="str">
        <f>I24</f>
        <v>ROCA-GARFIAS</v>
      </c>
      <c r="D25" s="10" t="str">
        <f>I25</f>
        <v>BACULEA-FRIGOLA</v>
      </c>
      <c r="E25" s="38"/>
      <c r="F25" s="39"/>
      <c r="H25" s="8">
        <f>RANK(N25,N23:N25,0)</f>
        <v>1</v>
      </c>
      <c r="I25" s="10" t="s">
        <v>138</v>
      </c>
      <c r="J25" s="4">
        <f>(IF(F24&gt;E24,1,IF(F24&lt;E24,0,))+(IF(F25&gt;E25,1,IF(F25&lt;E25,0,))))</f>
        <v>0</v>
      </c>
      <c r="K25" s="4">
        <f>F24+F25</f>
        <v>0</v>
      </c>
      <c r="L25" s="4">
        <f>E24+E25</f>
        <v>0</v>
      </c>
      <c r="M25" s="13" t="str">
        <f>IFERROR(K25/L25,"Max")</f>
        <v>Max</v>
      </c>
      <c r="N25" s="13">
        <f>IF(M25="Max",400,(J25*100)+M25)</f>
        <v>400</v>
      </c>
      <c r="O25" s="7"/>
      <c r="P25" s="14">
        <v>3</v>
      </c>
      <c r="Q25" s="8" t="str">
        <f>IF($J25+$J24+$J23=3,INDEX(I23:I25,MATCH($P25,H23:H25,0)),"Pdte")</f>
        <v>Pdte</v>
      </c>
      <c r="R25" s="7"/>
      <c r="S25" s="7"/>
    </row>
    <row r="26" spans="1:19" ht="23.25" customHeight="1" x14ac:dyDescent="0.3">
      <c r="A26" s="11">
        <f>A39+$G$2</f>
        <v>0.54861111111111116</v>
      </c>
      <c r="B26" s="4">
        <f>G5</f>
        <v>11</v>
      </c>
      <c r="C26" s="10" t="str">
        <f>I23</f>
        <v>FINCIAS-BRUGAROLAS</v>
      </c>
      <c r="D26" s="10" t="str">
        <f>I24</f>
        <v>ROCA-GARFIAS</v>
      </c>
      <c r="E26" s="38"/>
      <c r="F26" s="3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7" customFormat="1" ht="23.25" customHeight="1" x14ac:dyDescent="0.35">
      <c r="A27"/>
      <c r="B27"/>
      <c r="H27" s="8" t="s">
        <v>7</v>
      </c>
      <c r="I27" s="9" t="s">
        <v>45</v>
      </c>
      <c r="J27" s="4" t="s">
        <v>9</v>
      </c>
      <c r="K27" s="4" t="s">
        <v>10</v>
      </c>
      <c r="L27" s="4" t="s">
        <v>11</v>
      </c>
      <c r="M27" s="10" t="s">
        <v>12</v>
      </c>
      <c r="N27" s="10" t="s">
        <v>16</v>
      </c>
      <c r="P27" s="4" t="s">
        <v>14</v>
      </c>
      <c r="Q27" s="4" t="s">
        <v>45</v>
      </c>
    </row>
    <row r="28" spans="1:19" s="7" customFormat="1" ht="23.25" customHeight="1" x14ac:dyDescent="0.35">
      <c r="A28" s="4" t="s">
        <v>1</v>
      </c>
      <c r="B28" s="4" t="s">
        <v>2</v>
      </c>
      <c r="C28" s="10" t="s">
        <v>3</v>
      </c>
      <c r="D28" s="10" t="s">
        <v>4</v>
      </c>
      <c r="E28" s="10" t="s">
        <v>6</v>
      </c>
      <c r="F28" s="10" t="s">
        <v>6</v>
      </c>
      <c r="H28" s="8">
        <f>RANK(N28,N28:N30,0)</f>
        <v>1</v>
      </c>
      <c r="I28" s="10" t="s">
        <v>139</v>
      </c>
      <c r="J28" s="4">
        <f>(IF(E29&gt;F29,1,IF(E29&lt;F29,0,))+(IF(E31&gt;F31,1,IF(E31&lt;F31,0,))))</f>
        <v>0</v>
      </c>
      <c r="K28" s="4">
        <f>E29+E31</f>
        <v>0</v>
      </c>
      <c r="L28" s="4">
        <f>F29+F31</f>
        <v>0</v>
      </c>
      <c r="M28" s="13" t="str">
        <f>IFERROR(K28/L28,"Max")</f>
        <v>Max</v>
      </c>
      <c r="N28" s="13">
        <f>IF(M28="Max",400,(J28*100)+M28)</f>
        <v>400</v>
      </c>
      <c r="P28" s="14">
        <v>1</v>
      </c>
      <c r="Q28" s="8" t="str">
        <f>IF($J28+$J29+$J30=3,INDEX(I28:I30,MATCH($P28,H28:H30,0)),"Pdte")</f>
        <v>Pdte</v>
      </c>
    </row>
    <row r="29" spans="1:19" ht="23.25" customHeight="1" x14ac:dyDescent="0.35">
      <c r="A29" s="11">
        <f>A24+$G$2</f>
        <v>0.42708333333333331</v>
      </c>
      <c r="B29" s="4">
        <f>G5</f>
        <v>11</v>
      </c>
      <c r="C29" s="10" t="str">
        <f>I28</f>
        <v>MARTIN-ATIENZA</v>
      </c>
      <c r="D29" s="10" t="str">
        <f>I30</f>
        <v>ARBE-CATALA</v>
      </c>
      <c r="E29" s="36"/>
      <c r="F29" s="37"/>
      <c r="H29" s="8">
        <f>RANK(N29,N28:N30,0)</f>
        <v>1</v>
      </c>
      <c r="I29" s="10" t="s">
        <v>140</v>
      </c>
      <c r="J29" s="4">
        <f>(IF(E30&gt;F30,1,IF(E30&lt;F30,0,))+(IF(F31&gt;E31,1,IF(F31&lt;E31,0,))))</f>
        <v>0</v>
      </c>
      <c r="K29" s="4">
        <f>E30+F31</f>
        <v>0</v>
      </c>
      <c r="L29" s="4">
        <f>F30+E31</f>
        <v>0</v>
      </c>
      <c r="M29" s="13" t="str">
        <f>IFERROR(K29/L29,"Max")</f>
        <v>Max</v>
      </c>
      <c r="N29" s="13">
        <f>IF(M29="Max",400,(J29*100)+M29)</f>
        <v>400</v>
      </c>
      <c r="O29" s="7"/>
      <c r="P29" s="14">
        <v>2</v>
      </c>
      <c r="Q29" s="8" t="str">
        <f>IF($J29+$J30+$J28=3,INDEX(I28:I30,MATCH($P29,H28:H30,0)),"Pdte")</f>
        <v>Pdte</v>
      </c>
      <c r="R29" s="7"/>
      <c r="S29" s="7"/>
    </row>
    <row r="30" spans="1:19" ht="23.25" customHeight="1" x14ac:dyDescent="0.35">
      <c r="A30" s="11">
        <f>A25+$G$2</f>
        <v>0.49652777777777773</v>
      </c>
      <c r="B30" s="4">
        <f>G5</f>
        <v>11</v>
      </c>
      <c r="C30" s="10" t="str">
        <f>I29</f>
        <v>MUÑOZ-TORRERO-ORTEGA</v>
      </c>
      <c r="D30" s="10" t="str">
        <f>I30</f>
        <v>ARBE-CATALA</v>
      </c>
      <c r="E30" s="36"/>
      <c r="F30" s="37"/>
      <c r="H30" s="8">
        <f>RANK(N30,N28:N30,0)</f>
        <v>1</v>
      </c>
      <c r="I30" s="10" t="s">
        <v>141</v>
      </c>
      <c r="J30" s="4">
        <f>(IF(F29&gt;E29,1,IF(F29&lt;E29,0,))+(IF(F30&gt;E30,1,IF(F30&lt;E30,0,))))</f>
        <v>0</v>
      </c>
      <c r="K30" s="4">
        <f>F29+F30</f>
        <v>0</v>
      </c>
      <c r="L30" s="4">
        <f>E29+E30</f>
        <v>0</v>
      </c>
      <c r="M30" s="13" t="str">
        <f>IFERROR(K30/L30,"Max")</f>
        <v>Max</v>
      </c>
      <c r="N30" s="13">
        <f>IF(M30="Max",400,(J30*100)+M30)</f>
        <v>400</v>
      </c>
      <c r="O30" s="7"/>
      <c r="P30" s="14">
        <v>3</v>
      </c>
      <c r="Q30" s="8" t="str">
        <f>IF($J30+$J29+$J28=3,INDEX(I28:I30,MATCH($P30,H28:H30,0)),"Pdte")</f>
        <v>Pdte</v>
      </c>
      <c r="R30" s="7"/>
      <c r="S30" s="7"/>
    </row>
    <row r="31" spans="1:19" ht="23.25" customHeight="1" x14ac:dyDescent="0.3">
      <c r="A31" s="11">
        <f>A26+$G$2</f>
        <v>0.56597222222222232</v>
      </c>
      <c r="B31" s="4">
        <f>G5</f>
        <v>11</v>
      </c>
      <c r="C31" s="10" t="str">
        <f>I28</f>
        <v>MARTIN-ATIENZA</v>
      </c>
      <c r="D31" s="10" t="str">
        <f>I29</f>
        <v>MUÑOZ-TORRERO-ORTEGA</v>
      </c>
      <c r="E31" s="36"/>
      <c r="F31" s="3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7" customFormat="1" ht="23.25" customHeight="1" x14ac:dyDescent="0.3">
      <c r="A32"/>
      <c r="B32"/>
    </row>
    <row r="33" spans="1:17" s="7" customFormat="1" ht="23.25" customHeight="1" x14ac:dyDescent="0.35">
      <c r="A33" s="4" t="s">
        <v>1</v>
      </c>
      <c r="B33" s="4" t="s">
        <v>2</v>
      </c>
      <c r="C33" s="10" t="s">
        <v>3</v>
      </c>
      <c r="D33" s="10" t="s">
        <v>4</v>
      </c>
      <c r="E33" s="10" t="s">
        <v>6</v>
      </c>
      <c r="F33" s="10" t="s">
        <v>6</v>
      </c>
      <c r="H33" s="8" t="s">
        <v>7</v>
      </c>
      <c r="I33" s="9" t="s">
        <v>46</v>
      </c>
      <c r="J33" s="4" t="s">
        <v>9</v>
      </c>
      <c r="K33" s="4" t="s">
        <v>10</v>
      </c>
      <c r="L33" s="4" t="s">
        <v>11</v>
      </c>
      <c r="M33" s="10" t="s">
        <v>12</v>
      </c>
      <c r="N33" s="10" t="s">
        <v>16</v>
      </c>
      <c r="O33"/>
      <c r="P33" s="4" t="s">
        <v>14</v>
      </c>
      <c r="Q33" s="4" t="s">
        <v>46</v>
      </c>
    </row>
    <row r="34" spans="1:17" s="7" customFormat="1" ht="23.25" customHeight="1" x14ac:dyDescent="0.35">
      <c r="A34" s="11">
        <f>$G$1</f>
        <v>0.375</v>
      </c>
      <c r="B34" s="4">
        <f>G5</f>
        <v>11</v>
      </c>
      <c r="C34" s="10" t="str">
        <f>I34</f>
        <v>PUIG-PORRAS</v>
      </c>
      <c r="D34" s="10" t="str">
        <f>I36</f>
        <v>RUIZ-VIDAL</v>
      </c>
      <c r="E34" s="38"/>
      <c r="F34" s="39"/>
      <c r="H34" s="8">
        <f>RANK(N34,N34:N37,0)</f>
        <v>1</v>
      </c>
      <c r="I34" s="10" t="s">
        <v>142</v>
      </c>
      <c r="J34" s="4">
        <f>(IF(E34&gt;F34,1,IF(E34&lt;F34,0,))+(IF(E36&gt;F36,1,IF(E36&lt;F36,0,))+(IF(E38&gt;F38,1,IF(E38&lt;F38,0,)))))</f>
        <v>0</v>
      </c>
      <c r="K34" s="4">
        <f>E34+E36+E38</f>
        <v>0</v>
      </c>
      <c r="L34" s="4">
        <f>F34+F36+F38</f>
        <v>0</v>
      </c>
      <c r="M34" s="13" t="str">
        <f>IFERROR(K34/L34,"Max")</f>
        <v>Max</v>
      </c>
      <c r="N34" s="13">
        <f>IF(M34="Max",400,(J34*100)+M34)</f>
        <v>400</v>
      </c>
      <c r="O34"/>
      <c r="P34" s="14">
        <v>1</v>
      </c>
      <c r="Q34" s="8" t="str">
        <f>IF($J34+$J35+$J36+$J37=6,INDEX(I34:I37,MATCH($P34,H34:H37,0)),"Pdte")</f>
        <v>Pdte</v>
      </c>
    </row>
    <row r="35" spans="1:17" s="7" customFormat="1" ht="23.25" customHeight="1" x14ac:dyDescent="0.35">
      <c r="A35" s="11">
        <f>A34+$G$2</f>
        <v>0.3923611111111111</v>
      </c>
      <c r="B35" s="4">
        <f>G5</f>
        <v>11</v>
      </c>
      <c r="C35" s="10" t="str">
        <f>I35</f>
        <v>PIQUET-CANOVAS</v>
      </c>
      <c r="D35" s="10" t="str">
        <f>I37</f>
        <v>BLEI-DYEDUKH</v>
      </c>
      <c r="E35" s="38"/>
      <c r="F35" s="39"/>
      <c r="H35" s="8">
        <f>RANK(N35,N34:N37,0)</f>
        <v>1</v>
      </c>
      <c r="I35" s="10" t="s">
        <v>143</v>
      </c>
      <c r="J35" s="4">
        <f>(IF(E35&gt;F35,1,IF(E35&lt;F35,0,))+(IF(E37&gt;F37,1,IF(E37&lt;F37,0,))+(IF(F38&gt;E38,1,IF(F38&lt;E38,0,)))))</f>
        <v>0</v>
      </c>
      <c r="K35" s="4">
        <f>E35+E37+F38</f>
        <v>0</v>
      </c>
      <c r="L35" s="4">
        <f>F35+F37+E38</f>
        <v>0</v>
      </c>
      <c r="M35" s="13" t="str">
        <f>IFERROR(K35/L35,"Max")</f>
        <v>Max</v>
      </c>
      <c r="N35" s="13">
        <f>IF(M35="Max",400,(J35*100)+M35)</f>
        <v>400</v>
      </c>
      <c r="O35"/>
      <c r="P35" s="14">
        <v>2</v>
      </c>
      <c r="Q35" s="8" t="str">
        <f>IF($J35+$J36+$J37+$J34=6,INDEX(I34:I37,MATCH($P35,H34:H37,0)),"Pdte")</f>
        <v>Pdte</v>
      </c>
    </row>
    <row r="36" spans="1:17" s="7" customFormat="1" ht="23.25" customHeight="1" x14ac:dyDescent="0.35">
      <c r="A36" s="11">
        <f>A29+$G$2</f>
        <v>0.44444444444444442</v>
      </c>
      <c r="B36" s="4">
        <f>G5</f>
        <v>11</v>
      </c>
      <c r="C36" s="10" t="str">
        <f>I34</f>
        <v>PUIG-PORRAS</v>
      </c>
      <c r="D36" s="10" t="str">
        <f>I37</f>
        <v>BLEI-DYEDUKH</v>
      </c>
      <c r="E36" s="38"/>
      <c r="F36" s="39"/>
      <c r="H36" s="8">
        <f>RANK(N36,N34:N37,0)</f>
        <v>1</v>
      </c>
      <c r="I36" s="10" t="s">
        <v>144</v>
      </c>
      <c r="J36" s="4">
        <f>(IF(F34&gt;E34,1,IF(F34&lt;E34,0,))+(IF(F37&gt;E37,1,IF(F37&lt;E37,0,))+(IF(E39&gt;F39,1,IF(E39&lt;F39,0,)))))</f>
        <v>0</v>
      </c>
      <c r="K36" s="4">
        <f>F34+F37+E39</f>
        <v>0</v>
      </c>
      <c r="L36" s="4">
        <f>E34+E37+F39</f>
        <v>0</v>
      </c>
      <c r="M36" s="13" t="str">
        <f>IFERROR(K36/L36,"Max")</f>
        <v>Max</v>
      </c>
      <c r="N36" s="13">
        <f>IF(M36="Max",400,(J36*100)+M36)</f>
        <v>400</v>
      </c>
      <c r="O36"/>
      <c r="P36" s="14">
        <v>3</v>
      </c>
      <c r="Q36" s="8" t="str">
        <f>IF($J36+$J37+$J34+$J35=6,INDEX(I34:I37,MATCH($P36,H34:H37,0)),"Pdte")</f>
        <v>Pdte</v>
      </c>
    </row>
    <row r="37" spans="1:17" s="7" customFormat="1" ht="23.25" customHeight="1" x14ac:dyDescent="0.35">
      <c r="A37" s="11">
        <f>A36+$G$2</f>
        <v>0.46180555555555552</v>
      </c>
      <c r="B37" s="4">
        <f>G5</f>
        <v>11</v>
      </c>
      <c r="C37" s="10" t="str">
        <f>I35</f>
        <v>PIQUET-CANOVAS</v>
      </c>
      <c r="D37" s="10" t="str">
        <f>I36</f>
        <v>RUIZ-VIDAL</v>
      </c>
      <c r="E37" s="38"/>
      <c r="F37" s="39"/>
      <c r="H37" s="8">
        <f>RANK(N37,N34:N37,0)</f>
        <v>1</v>
      </c>
      <c r="I37" s="10" t="s">
        <v>145</v>
      </c>
      <c r="J37" s="4">
        <f>(IF(F35&gt;E35,1,IF(F35&lt;E35,0,))+(IF(F36&gt;E36,1,IF(F36&lt;E36,0,))+(IF(F39&gt;E39,1,IF(F39&lt;E39,0,)))))</f>
        <v>0</v>
      </c>
      <c r="K37" s="4">
        <f>F35+F36+F39</f>
        <v>0</v>
      </c>
      <c r="L37" s="4">
        <f>E35+E36+E39</f>
        <v>0</v>
      </c>
      <c r="M37" s="13" t="str">
        <f>IFERROR(K37/L37,"Max")</f>
        <v>Max</v>
      </c>
      <c r="N37" s="13">
        <f>IF(M37="Max",400,(J37*100)+M37)</f>
        <v>400</v>
      </c>
      <c r="O37"/>
      <c r="P37" s="14">
        <v>4</v>
      </c>
      <c r="Q37" s="8" t="str">
        <f>IF($J34+$J35+$J36+$J37=6,INDEX(I34:I37,MATCH($P37,H34:H37,0)),"Pdte")</f>
        <v>Pdte</v>
      </c>
    </row>
    <row r="38" spans="1:17" s="7" customFormat="1" ht="23.25" customHeight="1" x14ac:dyDescent="0.3">
      <c r="A38" s="11">
        <f>A30+$G$2</f>
        <v>0.51388888888888884</v>
      </c>
      <c r="B38" s="4">
        <f>G5</f>
        <v>11</v>
      </c>
      <c r="C38" s="10" t="str">
        <f>I34</f>
        <v>PUIG-PORRAS</v>
      </c>
      <c r="D38" s="10" t="str">
        <f>I35</f>
        <v>PIQUET-CANOVAS</v>
      </c>
      <c r="E38" s="38"/>
      <c r="F38" s="39"/>
    </row>
    <row r="39" spans="1:17" s="7" customFormat="1" ht="23.25" customHeight="1" x14ac:dyDescent="0.3">
      <c r="A39" s="11">
        <f>A38+$G$2</f>
        <v>0.53125</v>
      </c>
      <c r="B39" s="4">
        <f>G5</f>
        <v>11</v>
      </c>
      <c r="C39" s="10" t="str">
        <f>I36</f>
        <v>RUIZ-VIDAL</v>
      </c>
      <c r="D39" s="10" t="str">
        <f>I37</f>
        <v>BLEI-DYEDUKH</v>
      </c>
      <c r="E39" s="38"/>
      <c r="F39" s="39"/>
    </row>
    <row r="44" spans="1:17" s="7" customFormat="1" x14ac:dyDescent="0.3">
      <c r="A44" s="53" t="s">
        <v>146</v>
      </c>
    </row>
    <row r="45" spans="1:17" s="7" customFormat="1" x14ac:dyDescent="0.3">
      <c r="A45" s="10" t="s">
        <v>1</v>
      </c>
      <c r="B45" s="10" t="s">
        <v>2</v>
      </c>
      <c r="C45" s="10" t="s">
        <v>3</v>
      </c>
      <c r="D45" s="10" t="s">
        <v>4</v>
      </c>
      <c r="E45" s="10" t="s">
        <v>6</v>
      </c>
      <c r="F45" s="10" t="s">
        <v>6</v>
      </c>
    </row>
    <row r="46" spans="1:17" s="7" customFormat="1" x14ac:dyDescent="0.3"/>
    <row r="47" spans="1:17" s="7" customFormat="1" x14ac:dyDescent="0.3">
      <c r="A47" s="17"/>
      <c r="B47" s="17" t="s">
        <v>147</v>
      </c>
      <c r="C47" s="10" t="s">
        <v>148</v>
      </c>
      <c r="D47" s="10" t="s">
        <v>22</v>
      </c>
      <c r="E47" s="54"/>
      <c r="F47" s="54"/>
    </row>
    <row r="48" spans="1:17" s="7" customFormat="1" x14ac:dyDescent="0.3">
      <c r="A48" s="42">
        <f>A31+5*G2</f>
        <v>0.6527777777777779</v>
      </c>
      <c r="B48" s="10">
        <f>G4</f>
        <v>10</v>
      </c>
      <c r="C48" s="10" t="str">
        <f>IF(Q35="Pdte"," ",Q35)</f>
        <v xml:space="preserve"> </v>
      </c>
      <c r="D48" s="10" t="str">
        <f>IF(Q19="Pdte"," ",Q19)</f>
        <v xml:space="preserve"> </v>
      </c>
      <c r="E48" s="36"/>
      <c r="F48" s="37"/>
    </row>
    <row r="49" spans="1:6" s="7" customFormat="1" x14ac:dyDescent="0.3"/>
    <row r="50" spans="1:6" s="7" customFormat="1" x14ac:dyDescent="0.3">
      <c r="A50" s="17"/>
      <c r="B50" s="17" t="s">
        <v>149</v>
      </c>
      <c r="C50" s="10" t="s">
        <v>150</v>
      </c>
      <c r="D50" s="10" t="s">
        <v>23</v>
      </c>
    </row>
    <row r="51" spans="1:6" s="7" customFormat="1" x14ac:dyDescent="0.3">
      <c r="A51" s="42">
        <f>A48+G2</f>
        <v>0.67013888888888906</v>
      </c>
      <c r="B51" s="10">
        <f>G4</f>
        <v>10</v>
      </c>
      <c r="C51" s="10" t="str">
        <f>IF(Q28="Pdte"," ",Q28)</f>
        <v xml:space="preserve"> </v>
      </c>
      <c r="D51" s="10" t="str">
        <f>IF(Q14="Pdte"," ",Q14)</f>
        <v xml:space="preserve"> </v>
      </c>
      <c r="E51" s="36"/>
      <c r="F51" s="37"/>
    </row>
    <row r="52" spans="1:6" s="7" customFormat="1" x14ac:dyDescent="0.3">
      <c r="A52" s="17"/>
      <c r="B52" s="17"/>
      <c r="E52" s="54"/>
      <c r="F52" s="54"/>
    </row>
    <row r="53" spans="1:6" s="7" customFormat="1" x14ac:dyDescent="0.3">
      <c r="A53" s="17"/>
      <c r="B53" s="17" t="s">
        <v>151</v>
      </c>
      <c r="C53" s="10" t="s">
        <v>29</v>
      </c>
      <c r="D53" s="10" t="s">
        <v>152</v>
      </c>
    </row>
    <row r="54" spans="1:6" s="7" customFormat="1" x14ac:dyDescent="0.3">
      <c r="A54" s="42">
        <f>A31+5*G2</f>
        <v>0.6527777777777779</v>
      </c>
      <c r="B54" s="10">
        <f>G5</f>
        <v>11</v>
      </c>
      <c r="C54" s="10" t="str">
        <f>IF(Q24="Pdte"," ",Q24)</f>
        <v xml:space="preserve"> </v>
      </c>
      <c r="D54" s="10" t="str">
        <f>IF(Q28="Pdte"," ",Q29)</f>
        <v xml:space="preserve"> </v>
      </c>
      <c r="E54" s="36"/>
      <c r="F54" s="37"/>
    </row>
    <row r="55" spans="1:6" s="7" customFormat="1" x14ac:dyDescent="0.3">
      <c r="A55" s="17"/>
      <c r="B55" s="17"/>
      <c r="E55" s="54"/>
      <c r="F55" s="54"/>
    </row>
    <row r="56" spans="1:6" s="7" customFormat="1" x14ac:dyDescent="0.3">
      <c r="A56" s="17"/>
      <c r="B56" s="17" t="s">
        <v>153</v>
      </c>
      <c r="C56" s="10" t="s">
        <v>154</v>
      </c>
      <c r="D56" s="10" t="s">
        <v>30</v>
      </c>
    </row>
    <row r="57" spans="1:6" s="7" customFormat="1" x14ac:dyDescent="0.3">
      <c r="A57" s="42">
        <f>A54+G2</f>
        <v>0.67013888888888906</v>
      </c>
      <c r="B57" s="10">
        <f>G5</f>
        <v>11</v>
      </c>
      <c r="C57" s="10" t="str">
        <f>IF(Q34="Pdte"," ",Q34)</f>
        <v xml:space="preserve"> </v>
      </c>
      <c r="D57" s="10" t="str">
        <f>IF(Q8="Pdte"," ",Q9)</f>
        <v xml:space="preserve"> </v>
      </c>
      <c r="E57" s="36"/>
      <c r="F57" s="37"/>
    </row>
    <row r="58" spans="1:6" s="7" customFormat="1" x14ac:dyDescent="0.3">
      <c r="A58" s="17"/>
      <c r="B58" s="17"/>
      <c r="E58" s="54"/>
      <c r="F58" s="54"/>
    </row>
    <row r="59" spans="1:6" s="7" customFormat="1" x14ac:dyDescent="0.3">
      <c r="A59" s="17"/>
      <c r="B59" s="17" t="s">
        <v>20</v>
      </c>
      <c r="C59" s="10" t="s">
        <v>21</v>
      </c>
      <c r="D59" s="10" t="s">
        <v>155</v>
      </c>
    </row>
    <row r="60" spans="1:6" s="7" customFormat="1" x14ac:dyDescent="0.3">
      <c r="A60" s="42">
        <f>A51+G2</f>
        <v>0.68750000000000022</v>
      </c>
      <c r="B60" s="10">
        <f>G4</f>
        <v>10</v>
      </c>
      <c r="C60" s="10" t="str">
        <f>IF(Q8="Pdte"," ",Q8)</f>
        <v xml:space="preserve"> </v>
      </c>
      <c r="D60" s="10" t="str">
        <f>IF(E48&gt;F48,C48,IF(E48&lt;F48,D48," "))</f>
        <v xml:space="preserve"> </v>
      </c>
      <c r="E60" s="36"/>
      <c r="F60" s="37"/>
    </row>
    <row r="61" spans="1:6" s="7" customFormat="1" x14ac:dyDescent="0.3">
      <c r="A61" s="17"/>
      <c r="B61" s="17"/>
      <c r="E61" s="54"/>
      <c r="F61" s="54"/>
    </row>
    <row r="62" spans="1:6" s="7" customFormat="1" x14ac:dyDescent="0.3">
      <c r="A62" s="17"/>
      <c r="B62" s="17" t="s">
        <v>24</v>
      </c>
      <c r="C62" s="10" t="s">
        <v>156</v>
      </c>
      <c r="D62" s="10" t="s">
        <v>157</v>
      </c>
      <c r="E62" s="54"/>
      <c r="F62" s="54"/>
    </row>
    <row r="63" spans="1:6" s="7" customFormat="1" x14ac:dyDescent="0.3">
      <c r="A63" s="42">
        <f>A60+G2</f>
        <v>0.70486111111111138</v>
      </c>
      <c r="B63" s="10">
        <f>G4</f>
        <v>10</v>
      </c>
      <c r="C63" s="10" t="str">
        <f>IF(E51&gt;F51,C51,IF(E51&lt;F51,D51," "))</f>
        <v xml:space="preserve"> </v>
      </c>
      <c r="D63" s="10" t="str">
        <f>IF(Q23="Pdte"," ",Q23)</f>
        <v xml:space="preserve"> </v>
      </c>
      <c r="E63" s="36"/>
      <c r="F63" s="37"/>
    </row>
    <row r="64" spans="1:6" s="7" customFormat="1" x14ac:dyDescent="0.3"/>
    <row r="65" spans="1:8" s="7" customFormat="1" x14ac:dyDescent="0.3">
      <c r="A65" s="17"/>
      <c r="B65" s="17" t="s">
        <v>27</v>
      </c>
      <c r="C65" s="10" t="s">
        <v>158</v>
      </c>
      <c r="D65" s="10" t="s">
        <v>159</v>
      </c>
    </row>
    <row r="66" spans="1:8" s="7" customFormat="1" x14ac:dyDescent="0.3">
      <c r="A66" s="42">
        <f>A51+G2</f>
        <v>0.68750000000000022</v>
      </c>
      <c r="B66" s="10">
        <f>G5</f>
        <v>11</v>
      </c>
      <c r="C66" s="10" t="str">
        <f>IF(E54&gt;F54,C54,IF(E54&lt;F54,D54," "))</f>
        <v xml:space="preserve"> </v>
      </c>
      <c r="D66" s="10" t="str">
        <f>IF(Q18="Pdte"," ",Q18)</f>
        <v xml:space="preserve"> </v>
      </c>
      <c r="E66" s="36"/>
      <c r="F66" s="37"/>
    </row>
    <row r="67" spans="1:8" s="7" customFormat="1" x14ac:dyDescent="0.3">
      <c r="A67" s="17"/>
      <c r="B67" s="17"/>
      <c r="E67" s="54"/>
      <c r="F67" s="54"/>
    </row>
    <row r="68" spans="1:8" s="7" customFormat="1" x14ac:dyDescent="0.3">
      <c r="A68" s="17"/>
      <c r="B68" s="17" t="s">
        <v>31</v>
      </c>
      <c r="C68" s="10" t="s">
        <v>160</v>
      </c>
      <c r="D68" s="10" t="s">
        <v>28</v>
      </c>
      <c r="E68" s="54"/>
      <c r="F68" s="54"/>
    </row>
    <row r="69" spans="1:8" s="7" customFormat="1" x14ac:dyDescent="0.3">
      <c r="A69" s="42">
        <f>A60+G2</f>
        <v>0.70486111111111138</v>
      </c>
      <c r="B69" s="10">
        <f>G5</f>
        <v>11</v>
      </c>
      <c r="C69" s="10" t="str">
        <f>IF(E57&gt;F57,C57,IF(E57&lt;F57,D57," "))</f>
        <v xml:space="preserve"> </v>
      </c>
      <c r="D69" s="10" t="str">
        <f>IF(Q13="Pdte"," ",Q13)</f>
        <v xml:space="preserve"> </v>
      </c>
      <c r="E69" s="36"/>
      <c r="F69" s="37"/>
    </row>
    <row r="70" spans="1:8" s="7" customFormat="1" x14ac:dyDescent="0.3"/>
    <row r="71" spans="1:8" s="7" customFormat="1" x14ac:dyDescent="0.3">
      <c r="A71" s="17"/>
      <c r="B71" s="17" t="s">
        <v>34</v>
      </c>
      <c r="C71" s="10" t="s">
        <v>26</v>
      </c>
      <c r="D71" s="10" t="s">
        <v>35</v>
      </c>
      <c r="E71" s="54"/>
      <c r="F71" s="54"/>
    </row>
    <row r="72" spans="1:8" s="7" customFormat="1" x14ac:dyDescent="0.3">
      <c r="A72" s="42">
        <f>A63+G2</f>
        <v>0.72222222222222254</v>
      </c>
      <c r="B72" s="10">
        <f>G4</f>
        <v>10</v>
      </c>
      <c r="C72" s="10" t="str">
        <f>IF(E60&gt;F60,C60,IF(E60&lt;F60,D60," "))</f>
        <v xml:space="preserve"> </v>
      </c>
      <c r="D72" s="10" t="str">
        <f>IF(E63&gt;F63,C63,IF(E63&lt;F63,D63," "))</f>
        <v xml:space="preserve"> </v>
      </c>
      <c r="E72" s="36"/>
      <c r="F72" s="37"/>
    </row>
    <row r="73" spans="1:8" s="7" customFormat="1" x14ac:dyDescent="0.3">
      <c r="A73" s="17"/>
      <c r="B73" s="17"/>
      <c r="E73" s="54"/>
      <c r="F73" s="54"/>
    </row>
    <row r="74" spans="1:8" s="7" customFormat="1" x14ac:dyDescent="0.3">
      <c r="A74" s="17"/>
      <c r="B74" s="17" t="s">
        <v>36</v>
      </c>
      <c r="C74" s="10" t="s">
        <v>33</v>
      </c>
      <c r="D74" s="10" t="s">
        <v>37</v>
      </c>
      <c r="E74" s="54"/>
      <c r="F74" s="54"/>
    </row>
    <row r="75" spans="1:8" s="7" customFormat="1" x14ac:dyDescent="0.3">
      <c r="A75" s="42">
        <f>A63+G2</f>
        <v>0.72222222222222254</v>
      </c>
      <c r="B75" s="10">
        <f>G5</f>
        <v>11</v>
      </c>
      <c r="C75" s="10" t="str">
        <f>IF(E66&gt;F66,C66,IF(E66&lt;F66,D66," "))</f>
        <v xml:space="preserve"> </v>
      </c>
      <c r="D75" s="10" t="str">
        <f>IF(E69&gt;F69,C69,IF(E69&lt;F69,D69," "))</f>
        <v xml:space="preserve"> </v>
      </c>
      <c r="E75" s="36"/>
      <c r="F75" s="37"/>
    </row>
    <row r="76" spans="1:8" s="7" customFormat="1" x14ac:dyDescent="0.3">
      <c r="E76" s="54"/>
      <c r="F76" s="54"/>
    </row>
    <row r="77" spans="1:8" s="7" customFormat="1" x14ac:dyDescent="0.3">
      <c r="A77" s="17"/>
      <c r="B77" s="17" t="s">
        <v>38</v>
      </c>
      <c r="C77" s="10" t="s">
        <v>39</v>
      </c>
      <c r="D77" s="10" t="s">
        <v>40</v>
      </c>
      <c r="E77" s="54"/>
      <c r="F77" s="54"/>
    </row>
    <row r="78" spans="1:8" s="7" customFormat="1" x14ac:dyDescent="0.3">
      <c r="A78" s="42">
        <f>A72+2*G2</f>
        <v>0.75694444444444475</v>
      </c>
      <c r="B78" s="55">
        <f>G4</f>
        <v>10</v>
      </c>
      <c r="C78" s="10" t="str">
        <f>IF(E72&gt;F72,C72,IF(E72&lt;F72,#REF!," "))</f>
        <v xml:space="preserve"> </v>
      </c>
      <c r="D78" s="10" t="str">
        <f>IF(E75&gt;F75,C75,IF(E75&lt;F75,D75," "))</f>
        <v xml:space="preserve"> </v>
      </c>
      <c r="E78" s="36"/>
      <c r="F78" s="37"/>
    </row>
    <row r="79" spans="1:8" s="7" customFormat="1" x14ac:dyDescent="0.3"/>
    <row r="80" spans="1:8" ht="18.75" customHeight="1" x14ac:dyDescent="0.3">
      <c r="H80" s="46"/>
    </row>
    <row r="81" spans="8:8" ht="24.75" customHeight="1" x14ac:dyDescent="0.3">
      <c r="H81" s="46"/>
    </row>
    <row r="82" spans="8:8" ht="24.75" customHeight="1" x14ac:dyDescent="0.3"/>
  </sheetData>
  <mergeCells count="1">
    <mergeCell ref="A1:E5"/>
  </mergeCells>
  <conditionalFormatting sqref="Q8">
    <cfRule type="duplicateValues" dxfId="24" priority="10"/>
  </conditionalFormatting>
  <conditionalFormatting sqref="Q9:Q10">
    <cfRule type="duplicateValues" dxfId="23" priority="9"/>
  </conditionalFormatting>
  <conditionalFormatting sqref="Q13">
    <cfRule type="duplicateValues" dxfId="22" priority="8"/>
  </conditionalFormatting>
  <conditionalFormatting sqref="Q14:Q15">
    <cfRule type="duplicateValues" dxfId="21" priority="7"/>
  </conditionalFormatting>
  <conditionalFormatting sqref="Q18">
    <cfRule type="duplicateValues" dxfId="20" priority="6"/>
  </conditionalFormatting>
  <conditionalFormatting sqref="Q19:Q20">
    <cfRule type="duplicateValues" dxfId="19" priority="5"/>
  </conditionalFormatting>
  <conditionalFormatting sqref="Q23">
    <cfRule type="duplicateValues" dxfId="18" priority="4"/>
  </conditionalFormatting>
  <conditionalFormatting sqref="Q24:Q25">
    <cfRule type="duplicateValues" dxfId="17" priority="3"/>
  </conditionalFormatting>
  <conditionalFormatting sqref="Q28">
    <cfRule type="duplicateValues" dxfId="16" priority="2"/>
  </conditionalFormatting>
  <conditionalFormatting sqref="Q29:Q30">
    <cfRule type="duplicateValues" dxfId="15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activeCell="F41" sqref="F41"/>
    </sheetView>
  </sheetViews>
  <sheetFormatPr baseColWidth="10" defaultColWidth="11.44140625" defaultRowHeight="14.4" x14ac:dyDescent="0.3"/>
  <cols>
    <col min="1" max="1" width="9.6640625" bestFit="1" customWidth="1"/>
    <col min="2" max="2" width="6.88671875" bestFit="1" customWidth="1"/>
    <col min="3" max="4" width="27.109375" customWidth="1"/>
    <col min="8" max="8" width="18.5546875" bestFit="1" customWidth="1"/>
    <col min="9" max="9" width="27.109375" bestFit="1" customWidth="1"/>
    <col min="10" max="10" width="19" customWidth="1"/>
    <col min="16" max="16" width="10" bestFit="1" customWidth="1"/>
    <col min="17" max="17" width="24.109375" customWidth="1"/>
  </cols>
  <sheetData>
    <row r="1" spans="1:17" x14ac:dyDescent="0.3">
      <c r="A1" s="57" t="s">
        <v>65</v>
      </c>
      <c r="B1" s="57"/>
      <c r="C1" s="57"/>
      <c r="D1" s="58"/>
      <c r="E1" s="58"/>
      <c r="F1" s="58"/>
      <c r="I1" s="29" t="s">
        <v>42</v>
      </c>
      <c r="J1" s="30">
        <v>0.375</v>
      </c>
      <c r="L1" s="31" t="s">
        <v>41</v>
      </c>
      <c r="M1" s="32">
        <v>1.7361111111111112E-2</v>
      </c>
    </row>
    <row r="2" spans="1:17" x14ac:dyDescent="0.3">
      <c r="A2" s="57"/>
      <c r="B2" s="57"/>
      <c r="C2" s="57"/>
      <c r="D2" s="58"/>
      <c r="E2" s="58"/>
      <c r="F2" s="58"/>
      <c r="I2" s="31" t="s">
        <v>43</v>
      </c>
      <c r="J2" s="33">
        <v>2</v>
      </c>
    </row>
    <row r="3" spans="1:17" x14ac:dyDescent="0.3">
      <c r="A3" s="57"/>
      <c r="B3" s="57"/>
      <c r="C3" s="57"/>
      <c r="D3" s="58"/>
      <c r="E3" s="58"/>
      <c r="F3" s="58"/>
      <c r="I3" t="s">
        <v>44</v>
      </c>
      <c r="J3" s="34">
        <v>1</v>
      </c>
    </row>
    <row r="4" spans="1:17" x14ac:dyDescent="0.3">
      <c r="A4" s="57"/>
      <c r="B4" s="57"/>
      <c r="C4" s="57"/>
      <c r="D4" s="58"/>
      <c r="E4" s="58"/>
      <c r="F4" s="58"/>
      <c r="J4" s="34">
        <v>2</v>
      </c>
    </row>
    <row r="5" spans="1:17" x14ac:dyDescent="0.3">
      <c r="A5" s="57"/>
      <c r="B5" s="57"/>
      <c r="C5" s="57"/>
      <c r="D5" s="58"/>
      <c r="E5" s="58"/>
      <c r="F5" s="58"/>
    </row>
    <row r="6" spans="1:17" x14ac:dyDescent="0.3">
      <c r="A6" s="57"/>
      <c r="B6" s="57"/>
      <c r="C6" s="57"/>
      <c r="D6" s="58"/>
      <c r="E6" s="58"/>
      <c r="F6" s="58"/>
    </row>
    <row r="7" spans="1:17" x14ac:dyDescent="0.3">
      <c r="A7" s="57"/>
      <c r="B7" s="57"/>
      <c r="C7" s="57"/>
      <c r="D7" s="58"/>
      <c r="E7" s="58"/>
      <c r="F7" s="58"/>
    </row>
    <row r="8" spans="1:17" ht="61.2" x14ac:dyDescent="1.1000000000000001">
      <c r="A8" s="2"/>
      <c r="B8" s="2"/>
      <c r="C8" s="2"/>
      <c r="D8" s="3"/>
      <c r="E8" s="3"/>
      <c r="F8" s="3"/>
    </row>
    <row r="9" spans="1:17" ht="16.5" customHeight="1" x14ac:dyDescent="1.1000000000000001">
      <c r="A9" s="2"/>
      <c r="B9" s="2"/>
      <c r="C9" s="2"/>
      <c r="D9" s="3"/>
      <c r="E9" s="3"/>
      <c r="F9" s="3"/>
    </row>
    <row r="10" spans="1:17" ht="16.5" customHeight="1" x14ac:dyDescent="1.1000000000000001">
      <c r="A10" s="1" t="s">
        <v>0</v>
      </c>
      <c r="B10" s="2"/>
      <c r="C10" s="2"/>
      <c r="D10" s="3"/>
      <c r="E10" s="3"/>
      <c r="F10" s="3"/>
    </row>
    <row r="11" spans="1:17" s="7" customFormat="1" ht="27" customHeight="1" x14ac:dyDescent="0.35">
      <c r="A11" s="4" t="s">
        <v>1</v>
      </c>
      <c r="B11" s="5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H11" s="8" t="s">
        <v>7</v>
      </c>
      <c r="I11" s="9" t="s">
        <v>8</v>
      </c>
      <c r="J11" s="4" t="s">
        <v>9</v>
      </c>
      <c r="K11" s="4" t="s">
        <v>10</v>
      </c>
      <c r="L11" s="4" t="s">
        <v>11</v>
      </c>
      <c r="M11" s="10" t="s">
        <v>12</v>
      </c>
      <c r="N11" s="10" t="s">
        <v>13</v>
      </c>
      <c r="O11"/>
      <c r="P11" s="4" t="s">
        <v>14</v>
      </c>
      <c r="Q11" s="4" t="s">
        <v>8</v>
      </c>
    </row>
    <row r="12" spans="1:17" ht="27" customHeight="1" x14ac:dyDescent="0.35">
      <c r="A12" s="11">
        <f>J1</f>
        <v>0.375</v>
      </c>
      <c r="B12" s="5">
        <f>J3</f>
        <v>1</v>
      </c>
      <c r="C12" s="10" t="str">
        <f>I12</f>
        <v>ANFRUNS-MOTA</v>
      </c>
      <c r="D12" s="10" t="str">
        <f>I14</f>
        <v>SERENA-GARROS</v>
      </c>
      <c r="E12" s="12"/>
      <c r="F12" s="12"/>
      <c r="H12" s="8">
        <f>RANK(N12,N12:N15,0)</f>
        <v>1</v>
      </c>
      <c r="I12" s="10" t="s">
        <v>47</v>
      </c>
      <c r="J12" s="4">
        <f>(IF(E12&gt;F12,1,IF(E12&lt;F12,0,))+(IF(E14&gt;F14,1,IF(E14&lt;F14,0,))+(IF(E16&gt;F16,1,IF(E16&lt;F16,0,)))))</f>
        <v>0</v>
      </c>
      <c r="K12" s="4">
        <f>E12+E14+E16</f>
        <v>0</v>
      </c>
      <c r="L12" s="4">
        <f>F12+F14+F16</f>
        <v>0</v>
      </c>
      <c r="M12" s="13" t="str">
        <f>IFERROR(K12/L12,"Max")</f>
        <v>Max</v>
      </c>
      <c r="N12" s="13">
        <f>IF(M12="Max",400,(J12*100)+M12)</f>
        <v>400</v>
      </c>
      <c r="P12" s="14">
        <v>1</v>
      </c>
      <c r="Q12" s="8" t="str">
        <f>IF($J12+$J13+$J14+$J15=6,INDEX(I12:I15,MATCH($P12,H12:H15,0)),"Pdte")</f>
        <v>Pdte</v>
      </c>
    </row>
    <row r="13" spans="1:17" ht="27" customHeight="1" x14ac:dyDescent="0.35">
      <c r="A13" s="11">
        <f>A21+$M$1</f>
        <v>0.40972222222222221</v>
      </c>
      <c r="B13" s="5">
        <f>J3</f>
        <v>1</v>
      </c>
      <c r="C13" s="10" t="str">
        <f>I13</f>
        <v>RAKSANY-SUAREZ</v>
      </c>
      <c r="D13" s="10" t="str">
        <f>I15</f>
        <v>CASTELLA-CASTELLA</v>
      </c>
      <c r="E13" s="12"/>
      <c r="F13" s="12"/>
      <c r="H13" s="8">
        <f>RANK(N13,N12:N15,0)</f>
        <v>1</v>
      </c>
      <c r="I13" s="10" t="s">
        <v>52</v>
      </c>
      <c r="J13" s="4">
        <f>(IF(E13&gt;F13,1,IF(E13&lt;F13,0,))+(IF(E15&gt;F15,1,IF(E15&lt;F15,0,))+(IF(F16&gt;E16,1,IF(F16&lt;E16,0,)))))</f>
        <v>0</v>
      </c>
      <c r="K13" s="4">
        <f>E13+E15+F16</f>
        <v>0</v>
      </c>
      <c r="L13" s="4">
        <f>F13+F15+E16</f>
        <v>0</v>
      </c>
      <c r="M13" s="13" t="str">
        <f>IFERROR(K13/L13,"Max")</f>
        <v>Max</v>
      </c>
      <c r="N13" s="13">
        <f>IF(M13="Max",400,(J13*100)+M13)</f>
        <v>400</v>
      </c>
      <c r="P13" s="14">
        <v>2</v>
      </c>
      <c r="Q13" s="8" t="str">
        <f>IF($J13+$J14+$J15+$J12=6,INDEX(I12:I15,MATCH($P13,H12:H15,0)),"Pdte")</f>
        <v>Pdte</v>
      </c>
    </row>
    <row r="14" spans="1:17" ht="27" customHeight="1" x14ac:dyDescent="0.35">
      <c r="A14" s="11">
        <f>A22+$M$1</f>
        <v>0.44444444444444442</v>
      </c>
      <c r="B14" s="5">
        <f>J3</f>
        <v>1</v>
      </c>
      <c r="C14" s="10" t="str">
        <f>I12</f>
        <v>ANFRUNS-MOTA</v>
      </c>
      <c r="D14" s="10" t="str">
        <f>I15</f>
        <v>CASTELLA-CASTELLA</v>
      </c>
      <c r="E14" s="12"/>
      <c r="F14" s="12"/>
      <c r="H14" s="8">
        <f>RANK(N14,N12:N15,0)</f>
        <v>1</v>
      </c>
      <c r="I14" s="10" t="s">
        <v>58</v>
      </c>
      <c r="J14" s="4">
        <f>(IF(F12&gt;E12,1,IF(F12&lt;E12,0,))+(IF(F15&gt;E15,1,IF(F15&lt;E15,0,))+(IF(E17&gt;F17,1,IF(E17&lt;F17,0,)))))</f>
        <v>0</v>
      </c>
      <c r="K14" s="4">
        <f>F12+F15+E17</f>
        <v>0</v>
      </c>
      <c r="L14" s="4">
        <f>E12+E15+F17</f>
        <v>0</v>
      </c>
      <c r="M14" s="13" t="str">
        <f>IFERROR(K14/L14,"Max")</f>
        <v>Max</v>
      </c>
      <c r="N14" s="13">
        <f>IF(M14="Max",400,(J14*100)+M14)</f>
        <v>400</v>
      </c>
      <c r="P14" s="14">
        <v>3</v>
      </c>
      <c r="Q14" s="8" t="str">
        <f>IF($J14+$J15+$J12+$J13=6,INDEX(I12:I15,MATCH($P14,H12:H15,0)),"Pdte")</f>
        <v>Pdte</v>
      </c>
    </row>
    <row r="15" spans="1:17" ht="27" customHeight="1" x14ac:dyDescent="0.35">
      <c r="A15" s="11">
        <f>A23+$M$1</f>
        <v>0.47916666666666663</v>
      </c>
      <c r="B15" s="5">
        <f>J3</f>
        <v>1</v>
      </c>
      <c r="C15" s="10" t="str">
        <f>I13</f>
        <v>RAKSANY-SUAREZ</v>
      </c>
      <c r="D15" s="10" t="str">
        <f>I14</f>
        <v>SERENA-GARROS</v>
      </c>
      <c r="E15" s="12"/>
      <c r="F15" s="12"/>
      <c r="H15" s="8">
        <f>RANK(N15,N12:N15,0)</f>
        <v>1</v>
      </c>
      <c r="I15" s="10" t="s">
        <v>59</v>
      </c>
      <c r="J15" s="4">
        <f>(IF(F13&gt;E13,1,IF(F13&lt;E13,0,))+(IF(F14&gt;E14,1,IF(F14&lt;E14,0,))+(IF(F17&gt;E17,1,IF(F17&lt;E17,0,)))))</f>
        <v>0</v>
      </c>
      <c r="K15" s="4">
        <f>F13+F14+F17</f>
        <v>0</v>
      </c>
      <c r="L15" s="4">
        <f>E13+E14+E17</f>
        <v>0</v>
      </c>
      <c r="M15" s="13" t="str">
        <f>IFERROR(K15/L15,"Max")</f>
        <v>Max</v>
      </c>
      <c r="N15" s="13">
        <f>IF(M15="Max",400,(J15*100)+M15)</f>
        <v>400</v>
      </c>
      <c r="P15" s="14">
        <v>4</v>
      </c>
      <c r="Q15" s="8" t="str">
        <f>IF($J12+$J13+$J14+$J15=6,INDEX(I12:I15,MATCH($P15,H12:H15,0)),"Pdte")</f>
        <v>Pdte</v>
      </c>
    </row>
    <row r="16" spans="1:17" ht="27" customHeight="1" x14ac:dyDescent="0.3">
      <c r="A16" s="11">
        <f>A24+$M$1</f>
        <v>0.51388888888888884</v>
      </c>
      <c r="B16" s="5">
        <f>J3</f>
        <v>1</v>
      </c>
      <c r="C16" s="10" t="str">
        <f>I12</f>
        <v>ANFRUNS-MOTA</v>
      </c>
      <c r="D16" s="10" t="str">
        <f>I13</f>
        <v>RAKSANY-SUAREZ</v>
      </c>
      <c r="E16" s="12"/>
      <c r="F16" s="12"/>
    </row>
    <row r="17" spans="1:17" ht="27" customHeight="1" x14ac:dyDescent="0.3">
      <c r="A17" s="11">
        <f>A25+$M$1</f>
        <v>0.54861111111111116</v>
      </c>
      <c r="B17" s="5">
        <f>J3</f>
        <v>1</v>
      </c>
      <c r="C17" s="10" t="str">
        <f>I14</f>
        <v>SERENA-GARROS</v>
      </c>
      <c r="D17" s="10" t="str">
        <f>I15</f>
        <v>CASTELLA-CASTELLA</v>
      </c>
      <c r="E17" s="12"/>
      <c r="F17" s="12"/>
    </row>
    <row r="18" spans="1:17" ht="27" customHeight="1" x14ac:dyDescent="0.3"/>
    <row r="19" spans="1:17" ht="27" customHeight="1" x14ac:dyDescent="0.3"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7" customFormat="1" ht="27" customHeight="1" x14ac:dyDescent="0.35">
      <c r="A20" s="4" t="s">
        <v>1</v>
      </c>
      <c r="B20" s="4" t="s">
        <v>2</v>
      </c>
      <c r="C20" s="10" t="s">
        <v>3</v>
      </c>
      <c r="D20" s="10" t="s">
        <v>4</v>
      </c>
      <c r="E20" s="10" t="s">
        <v>6</v>
      </c>
      <c r="F20" s="10" t="s">
        <v>6</v>
      </c>
      <c r="H20" s="8" t="s">
        <v>7</v>
      </c>
      <c r="I20" s="9" t="s">
        <v>15</v>
      </c>
      <c r="J20" s="4" t="s">
        <v>9</v>
      </c>
      <c r="K20" s="4" t="s">
        <v>10</v>
      </c>
      <c r="L20" s="4" t="s">
        <v>11</v>
      </c>
      <c r="M20" s="10" t="s">
        <v>12</v>
      </c>
      <c r="N20" s="10" t="s">
        <v>16</v>
      </c>
      <c r="O20"/>
      <c r="P20" s="4" t="s">
        <v>14</v>
      </c>
      <c r="Q20" s="4" t="s">
        <v>15</v>
      </c>
    </row>
    <row r="21" spans="1:17" s="7" customFormat="1" ht="27" customHeight="1" x14ac:dyDescent="0.35">
      <c r="A21" s="11">
        <f t="shared" ref="A21:A26" si="0">A12+$M$1</f>
        <v>0.3923611111111111</v>
      </c>
      <c r="B21" s="4">
        <f>J3</f>
        <v>1</v>
      </c>
      <c r="C21" s="10" t="str">
        <f>I21</f>
        <v>LOPEZ-FONT</v>
      </c>
      <c r="D21" s="10" t="str">
        <f>I23</f>
        <v>MONT-GUADALAJARA</v>
      </c>
      <c r="E21" s="15"/>
      <c r="F21" s="16"/>
      <c r="H21" s="8">
        <f>RANK(N21,N21:N24,0)</f>
        <v>1</v>
      </c>
      <c r="I21" s="10" t="s">
        <v>48</v>
      </c>
      <c r="J21" s="4">
        <f>(IF(E21&gt;F21,1,IF(E21&lt;F21,0,))+(IF(E23&gt;F23,1,IF(E23&lt;F23,0,))+(IF(E25&gt;F25,1,IF(E25&lt;F25,0,)))))</f>
        <v>0</v>
      </c>
      <c r="K21" s="4">
        <f>E21+E23+E25</f>
        <v>0</v>
      </c>
      <c r="L21" s="4">
        <f>F21+F23+F25</f>
        <v>0</v>
      </c>
      <c r="M21" s="13" t="str">
        <f>IFERROR(K21/L21,"Max")</f>
        <v>Max</v>
      </c>
      <c r="N21" s="13">
        <f>IF(M21="Max",400,(J21*100)+M21)</f>
        <v>400</v>
      </c>
      <c r="O21"/>
      <c r="P21" s="14">
        <v>1</v>
      </c>
      <c r="Q21" s="8" t="str">
        <f>IF($J21+$J22+$J23+$J24=6,INDEX(I21:I24,MATCH($P21,H21:H24,0)),"Pdte")</f>
        <v>Pdte</v>
      </c>
    </row>
    <row r="22" spans="1:17" s="7" customFormat="1" ht="27" customHeight="1" x14ac:dyDescent="0.35">
      <c r="A22" s="11">
        <f t="shared" si="0"/>
        <v>0.42708333333333331</v>
      </c>
      <c r="B22" s="4">
        <f>J3</f>
        <v>1</v>
      </c>
      <c r="C22" s="10" t="str">
        <f>I22</f>
        <v>MASERAS-ERICKSON</v>
      </c>
      <c r="D22" s="10" t="str">
        <f>I24</f>
        <v>MORATO-PEREZ</v>
      </c>
      <c r="E22" s="15"/>
      <c r="F22" s="16"/>
      <c r="H22" s="8">
        <f>RANK(N22,N21:N24,0)</f>
        <v>1</v>
      </c>
      <c r="I22" s="10" t="s">
        <v>51</v>
      </c>
      <c r="J22" s="4">
        <f>(IF(E22&gt;F22,1,IF(E22&lt;F22,0,))+(IF(E24&gt;F24,1,IF(E24&lt;F24,0,))+(IF(F25&gt;E25,1,IF(F25&lt;E25,0,)))))</f>
        <v>0</v>
      </c>
      <c r="K22" s="4">
        <f>E22+E24+F25</f>
        <v>0</v>
      </c>
      <c r="L22" s="4">
        <f>F22+F24+E25</f>
        <v>0</v>
      </c>
      <c r="M22" s="13" t="str">
        <f>IFERROR(K22/L22,"Max")</f>
        <v>Max</v>
      </c>
      <c r="N22" s="13">
        <f>IF(M22="Max",400,(J22*100)+M22)</f>
        <v>400</v>
      </c>
      <c r="O22"/>
      <c r="P22" s="14">
        <v>2</v>
      </c>
      <c r="Q22" s="8" t="str">
        <f>IF($J22+$J23+$J24+$J21=6,INDEX(I21:I24,MATCH($P22,H21:H24,0)),"Pdte")</f>
        <v>Pdte</v>
      </c>
    </row>
    <row r="23" spans="1:17" s="7" customFormat="1" ht="27" customHeight="1" x14ac:dyDescent="0.35">
      <c r="A23" s="11">
        <f t="shared" si="0"/>
        <v>0.46180555555555552</v>
      </c>
      <c r="B23" s="4">
        <f>J3</f>
        <v>1</v>
      </c>
      <c r="C23" s="10" t="str">
        <f>I21</f>
        <v>LOPEZ-FONT</v>
      </c>
      <c r="D23" s="10" t="str">
        <f>I24</f>
        <v>MORATO-PEREZ</v>
      </c>
      <c r="E23" s="15"/>
      <c r="F23" s="16"/>
      <c r="H23" s="8">
        <f>RANK(N23,N21:N24,0)</f>
        <v>1</v>
      </c>
      <c r="I23" s="10" t="s">
        <v>57</v>
      </c>
      <c r="J23" s="4">
        <f>(IF(F21&gt;E21,1,IF(F21&lt;E21,0,))+(IF(F24&gt;E24,1,IF(F24&lt;E24,0,))+(IF(E26&gt;F26,1,IF(E26&lt;F26,0,)))))</f>
        <v>0</v>
      </c>
      <c r="K23" s="4">
        <f>F21+F24+E26</f>
        <v>0</v>
      </c>
      <c r="L23" s="4">
        <f>E21+E24+F26</f>
        <v>0</v>
      </c>
      <c r="M23" s="13" t="str">
        <f>IFERROR(K23/L23,"Max")</f>
        <v>Max</v>
      </c>
      <c r="N23" s="13">
        <f>IF(M23="Max",400,(J23*100)+M23)</f>
        <v>400</v>
      </c>
      <c r="O23"/>
      <c r="P23" s="14">
        <v>3</v>
      </c>
      <c r="Q23" s="8" t="str">
        <f>IF($J23+$J24+$J21+$J22=6,INDEX(I21:I24,MATCH($P23,H21:H24,0)),"Pdte")</f>
        <v>Pdte</v>
      </c>
    </row>
    <row r="24" spans="1:17" s="7" customFormat="1" ht="27" customHeight="1" x14ac:dyDescent="0.35">
      <c r="A24" s="11">
        <f t="shared" si="0"/>
        <v>0.49652777777777773</v>
      </c>
      <c r="B24" s="4">
        <f>J3</f>
        <v>1</v>
      </c>
      <c r="C24" s="10" t="str">
        <f>I22</f>
        <v>MASERAS-ERICKSON</v>
      </c>
      <c r="D24" s="10" t="str">
        <f>I23</f>
        <v>MONT-GUADALAJARA</v>
      </c>
      <c r="E24" s="15"/>
      <c r="F24" s="16"/>
      <c r="H24" s="8">
        <f>RANK(N24,N21:N24,0)</f>
        <v>1</v>
      </c>
      <c r="I24" s="10" t="s">
        <v>60</v>
      </c>
      <c r="J24" s="4">
        <f>(IF(F22&gt;E22,1,IF(F22&lt;E22,0,))+(IF(F23&gt;E23,1,IF(F23&lt;E23,0,))+(IF(F26&gt;E26,1,IF(F26&lt;E26,0,)))))</f>
        <v>0</v>
      </c>
      <c r="K24" s="4">
        <f>F22+F23+F26</f>
        <v>0</v>
      </c>
      <c r="L24" s="4">
        <f>E22+E23+E26</f>
        <v>0</v>
      </c>
      <c r="M24" s="13" t="str">
        <f>IFERROR(K24/L24,"Max")</f>
        <v>Max</v>
      </c>
      <c r="N24" s="13">
        <f>IF(M24="Max",400,(J24*100)+M24)</f>
        <v>400</v>
      </c>
      <c r="O24"/>
      <c r="P24" s="14">
        <v>4</v>
      </c>
      <c r="Q24" s="8" t="str">
        <f>IF($J21+$J22+$J23+$J24=6,INDEX(I21:I24,MATCH($P24,H21:H24,0)),"Pdte")</f>
        <v>Pdte</v>
      </c>
    </row>
    <row r="25" spans="1:17" s="7" customFormat="1" ht="27" customHeight="1" x14ac:dyDescent="0.3">
      <c r="A25" s="11">
        <f t="shared" si="0"/>
        <v>0.53125</v>
      </c>
      <c r="B25" s="4">
        <f>J3</f>
        <v>1</v>
      </c>
      <c r="C25" s="10" t="str">
        <f>I21</f>
        <v>LOPEZ-FONT</v>
      </c>
      <c r="D25" s="10" t="str">
        <f>I22</f>
        <v>MASERAS-ERICKSON</v>
      </c>
      <c r="E25" s="15"/>
      <c r="F25" s="16"/>
    </row>
    <row r="26" spans="1:17" s="7" customFormat="1" ht="27" customHeight="1" x14ac:dyDescent="0.3">
      <c r="A26" s="11">
        <f t="shared" si="0"/>
        <v>0.56597222222222232</v>
      </c>
      <c r="B26" s="4">
        <f>J3</f>
        <v>1</v>
      </c>
      <c r="C26" s="10" t="str">
        <f>I23</f>
        <v>MONT-GUADALAJARA</v>
      </c>
      <c r="D26" s="10" t="str">
        <f>I24</f>
        <v>MORATO-PEREZ</v>
      </c>
      <c r="E26" s="15"/>
      <c r="F26" s="16"/>
    </row>
    <row r="27" spans="1:17" s="7" customFormat="1" ht="27" customHeight="1" x14ac:dyDescent="0.3">
      <c r="A27" s="17"/>
      <c r="B27" s="17"/>
    </row>
    <row r="28" spans="1:17" s="7" customFormat="1" ht="27" customHeight="1" x14ac:dyDescent="0.35">
      <c r="A28" s="4" t="s">
        <v>1</v>
      </c>
      <c r="B28" s="4" t="s">
        <v>2</v>
      </c>
      <c r="C28" s="6" t="s">
        <v>3</v>
      </c>
      <c r="D28" s="6" t="s">
        <v>4</v>
      </c>
      <c r="E28" s="6" t="s">
        <v>5</v>
      </c>
      <c r="F28" s="6" t="s">
        <v>6</v>
      </c>
      <c r="H28" s="8" t="s">
        <v>7</v>
      </c>
      <c r="I28" s="9" t="s">
        <v>17</v>
      </c>
      <c r="J28" s="4" t="s">
        <v>9</v>
      </c>
      <c r="K28" s="4" t="s">
        <v>10</v>
      </c>
      <c r="L28" s="4" t="s">
        <v>11</v>
      </c>
      <c r="M28" s="10" t="s">
        <v>12</v>
      </c>
      <c r="N28" s="10" t="s">
        <v>13</v>
      </c>
      <c r="O28"/>
      <c r="P28" s="4" t="s">
        <v>14</v>
      </c>
      <c r="Q28" s="4" t="s">
        <v>17</v>
      </c>
    </row>
    <row r="29" spans="1:17" ht="27" customHeight="1" x14ac:dyDescent="0.35">
      <c r="A29" s="11">
        <f>J1</f>
        <v>0.375</v>
      </c>
      <c r="B29" s="4">
        <f>J4</f>
        <v>2</v>
      </c>
      <c r="C29" s="10" t="str">
        <f>I29</f>
        <v>ARES-ALMARAZ</v>
      </c>
      <c r="D29" s="10" t="str">
        <f>I31</f>
        <v>SUSTAUSKAS-CAMPANALS</v>
      </c>
      <c r="E29" s="12"/>
      <c r="F29" s="12"/>
      <c r="H29" s="8">
        <f>RANK(N29,N29:N32,0)</f>
        <v>1</v>
      </c>
      <c r="I29" s="10" t="s">
        <v>49</v>
      </c>
      <c r="J29" s="4">
        <f>(IF(E29&gt;F29,1,IF(E29&lt;F29,0,))+(IF(E31&gt;F31,1,IF(E31&lt;F31,0,))+(IF(E33&gt;F33,1,IF(E33&lt;F33,0,)))))</f>
        <v>0</v>
      </c>
      <c r="K29" s="4">
        <f>E29+E31+E33</f>
        <v>0</v>
      </c>
      <c r="L29" s="4">
        <f>F29+F31+F33</f>
        <v>0</v>
      </c>
      <c r="M29" s="13" t="str">
        <f>IFERROR(K29/L29,"Max")</f>
        <v>Max</v>
      </c>
      <c r="N29" s="13">
        <f>IF(M29="Max",400,(J29*100)+M29)</f>
        <v>400</v>
      </c>
      <c r="P29" s="14">
        <v>1</v>
      </c>
      <c r="Q29" s="8" t="str">
        <f>IF($J29+$J30+$J31+$J32=6,INDEX(I29:I32,MATCH($P29,H29:H32,0)),"Pdte")</f>
        <v>Pdte</v>
      </c>
    </row>
    <row r="30" spans="1:17" ht="27" customHeight="1" x14ac:dyDescent="0.35">
      <c r="A30" s="11">
        <f>A38+$M$1</f>
        <v>0.40972222222222221</v>
      </c>
      <c r="B30" s="4">
        <f>J4</f>
        <v>2</v>
      </c>
      <c r="C30" s="10" t="str">
        <f>I30</f>
        <v>MARINE-GORDO</v>
      </c>
      <c r="D30" s="10" t="str">
        <f>I32</f>
        <v>GISBERT-DAMASO</v>
      </c>
      <c r="E30" s="12"/>
      <c r="F30" s="12"/>
      <c r="H30" s="8">
        <f>RANK(N30,N29:N32,0)</f>
        <v>1</v>
      </c>
      <c r="I30" s="10" t="s">
        <v>53</v>
      </c>
      <c r="J30" s="4">
        <f>(IF(E30&gt;F30,1,IF(E30&lt;F30,0,))+(IF(E32&gt;F32,1,IF(E32&lt;F32,0,))+(IF(F33&gt;E33,1,IF(F33&lt;E33,0,)))))</f>
        <v>0</v>
      </c>
      <c r="K30" s="4">
        <f>E30+E32+F33</f>
        <v>0</v>
      </c>
      <c r="L30" s="4">
        <f>F30+F32+E33</f>
        <v>0</v>
      </c>
      <c r="M30" s="13" t="str">
        <f>IFERROR(K30/L30,"Max")</f>
        <v>Max</v>
      </c>
      <c r="N30" s="13">
        <f>IF(M30="Max",400,(J30*100)+M30)</f>
        <v>400</v>
      </c>
      <c r="P30" s="14">
        <v>2</v>
      </c>
      <c r="Q30" s="8" t="str">
        <f>IF($J30+$J31+$J32+$J29=6,INDEX(I29:I32,MATCH($P30,H29:H32,0)),"Pdte")</f>
        <v>Pdte</v>
      </c>
    </row>
    <row r="31" spans="1:17" ht="27" customHeight="1" x14ac:dyDescent="0.35">
      <c r="A31" s="11">
        <f>A39+$M$1</f>
        <v>0.44444444444444442</v>
      </c>
      <c r="B31" s="4">
        <f>J4</f>
        <v>2</v>
      </c>
      <c r="C31" s="10" t="str">
        <f>I29</f>
        <v>ARES-ALMARAZ</v>
      </c>
      <c r="D31" s="10" t="str">
        <f>I32</f>
        <v>GISBERT-DAMASO</v>
      </c>
      <c r="E31" s="12"/>
      <c r="F31" s="12"/>
      <c r="H31" s="8">
        <f>RANK(N31,N29:N32,0)</f>
        <v>1</v>
      </c>
      <c r="I31" s="10" t="s">
        <v>56</v>
      </c>
      <c r="J31" s="4">
        <f>(IF(F29&gt;E29,1,IF(F29&lt;E29,0,))+(IF(F32&gt;E32,1,IF(F32&lt;E32,0,))+(IF(E34&gt;F34,1,IF(E34&lt;F34,0,)))))</f>
        <v>0</v>
      </c>
      <c r="K31" s="4">
        <f>F29+F32+E34</f>
        <v>0</v>
      </c>
      <c r="L31" s="4">
        <f>E29+E32+F34</f>
        <v>0</v>
      </c>
      <c r="M31" s="13" t="str">
        <f>IFERROR(K31/L31,"Max")</f>
        <v>Max</v>
      </c>
      <c r="N31" s="13">
        <f>IF(M31="Max",400,(J31*100)+M31)</f>
        <v>400</v>
      </c>
      <c r="P31" s="14">
        <v>3</v>
      </c>
      <c r="Q31" s="8" t="str">
        <f>IF($J31+$J32+$J29+$J30=6,INDEX(I29:I32,MATCH($P31,H29:H32,0)),"Pdte")</f>
        <v>Pdte</v>
      </c>
    </row>
    <row r="32" spans="1:17" ht="27" customHeight="1" x14ac:dyDescent="0.35">
      <c r="A32" s="11">
        <f>A40+$M$1</f>
        <v>0.47916666666666663</v>
      </c>
      <c r="B32" s="4">
        <f>J4</f>
        <v>2</v>
      </c>
      <c r="C32" s="10" t="str">
        <f>I30</f>
        <v>MARINE-GORDO</v>
      </c>
      <c r="D32" s="10" t="str">
        <f>I31</f>
        <v>SUSTAUSKAS-CAMPANALS</v>
      </c>
      <c r="E32" s="12"/>
      <c r="F32" s="12"/>
      <c r="H32" s="8">
        <f>RANK(N32,N29:N32,0)</f>
        <v>1</v>
      </c>
      <c r="I32" s="10" t="s">
        <v>61</v>
      </c>
      <c r="J32" s="4">
        <f>(IF(F30&gt;E30,1,IF(F30&lt;E30,0,))+(IF(F31&gt;E31,1,IF(F31&lt;E31,0,))+(IF(F34&gt;E34,1,IF(F34&lt;E34,0,)))))</f>
        <v>0</v>
      </c>
      <c r="K32" s="4">
        <f>F30+F31+F34</f>
        <v>0</v>
      </c>
      <c r="L32" s="4">
        <f>E30+E31+E34</f>
        <v>0</v>
      </c>
      <c r="M32" s="13" t="str">
        <f>IFERROR(K32/L32,"Max")</f>
        <v>Max</v>
      </c>
      <c r="N32" s="13">
        <f>IF(M32="Max",400,(J32*100)+M32)</f>
        <v>400</v>
      </c>
      <c r="P32" s="14">
        <v>4</v>
      </c>
      <c r="Q32" s="8" t="str">
        <f>IF($J29+$J30+$J31+$J32=6,INDEX(I29:I32,MATCH($P32,H29:H32,0)),"Pdte")</f>
        <v>Pdte</v>
      </c>
    </row>
    <row r="33" spans="1:17" ht="27" customHeight="1" x14ac:dyDescent="0.3">
      <c r="A33" s="11">
        <f>A41+$M$1</f>
        <v>0.51388888888888884</v>
      </c>
      <c r="B33" s="4">
        <f>J4</f>
        <v>2</v>
      </c>
      <c r="C33" s="10" t="str">
        <f>I29</f>
        <v>ARES-ALMARAZ</v>
      </c>
      <c r="D33" s="10" t="str">
        <f>I30</f>
        <v>MARINE-GORDO</v>
      </c>
      <c r="E33" s="12"/>
      <c r="F33" s="12"/>
    </row>
    <row r="34" spans="1:17" ht="27" customHeight="1" x14ac:dyDescent="0.3">
      <c r="A34" s="11">
        <f>A42+$M$1</f>
        <v>0.54861111111111116</v>
      </c>
      <c r="B34" s="4">
        <f>J4</f>
        <v>2</v>
      </c>
      <c r="C34" s="10" t="str">
        <f>I31</f>
        <v>SUSTAUSKAS-CAMPANALS</v>
      </c>
      <c r="D34" s="10" t="str">
        <f>I32</f>
        <v>GISBERT-DAMASO</v>
      </c>
      <c r="E34" s="12"/>
      <c r="F34" s="12"/>
    </row>
    <row r="35" spans="1:17" ht="27" customHeight="1" x14ac:dyDescent="0.3"/>
    <row r="36" spans="1:17" ht="27" customHeight="1" x14ac:dyDescent="0.3"/>
    <row r="37" spans="1:17" s="7" customFormat="1" ht="27" customHeight="1" x14ac:dyDescent="0.35">
      <c r="A37" s="4" t="s">
        <v>1</v>
      </c>
      <c r="B37" s="4" t="s">
        <v>2</v>
      </c>
      <c r="C37" s="10" t="s">
        <v>3</v>
      </c>
      <c r="D37" s="10" t="s">
        <v>4</v>
      </c>
      <c r="E37" s="10" t="s">
        <v>6</v>
      </c>
      <c r="F37" s="10" t="s">
        <v>6</v>
      </c>
      <c r="H37" s="8" t="s">
        <v>7</v>
      </c>
      <c r="I37" s="9" t="s">
        <v>18</v>
      </c>
      <c r="J37" s="4" t="s">
        <v>9</v>
      </c>
      <c r="K37" s="4" t="s">
        <v>10</v>
      </c>
      <c r="L37" s="4" t="s">
        <v>11</v>
      </c>
      <c r="M37" s="10" t="s">
        <v>12</v>
      </c>
      <c r="N37" s="10" t="s">
        <v>16</v>
      </c>
      <c r="O37"/>
      <c r="P37" s="4" t="s">
        <v>14</v>
      </c>
      <c r="Q37" s="4" t="s">
        <v>18</v>
      </c>
    </row>
    <row r="38" spans="1:17" s="7" customFormat="1" ht="27" customHeight="1" x14ac:dyDescent="0.35">
      <c r="A38" s="11">
        <f t="shared" ref="A38:A43" si="1">A29+$M$1</f>
        <v>0.3923611111111111</v>
      </c>
      <c r="B38" s="4">
        <f>J4</f>
        <v>2</v>
      </c>
      <c r="C38" s="10" t="str">
        <f>I38</f>
        <v>CARBO-TORRELLAS STORM</v>
      </c>
      <c r="D38" s="10" t="str">
        <f>I40</f>
        <v>PERALES-PASCUAL</v>
      </c>
      <c r="E38" s="15"/>
      <c r="F38" s="16"/>
      <c r="H38" s="8">
        <f>RANK(N38,N38:N41,0)</f>
        <v>1</v>
      </c>
      <c r="I38" s="10" t="s">
        <v>50</v>
      </c>
      <c r="J38" s="4">
        <f>(IF(E38&gt;F38,1,IF(E38&lt;F38,0,))+(IF(E40&gt;F40,1,IF(E40&lt;F40,0,))+(IF(E42&gt;F42,1,IF(E42&lt;F42,0,)))))</f>
        <v>0</v>
      </c>
      <c r="K38" s="4">
        <f>E38+E40+E42</f>
        <v>0</v>
      </c>
      <c r="L38" s="4">
        <f>F38+F40+F42</f>
        <v>0</v>
      </c>
      <c r="M38" s="13" t="str">
        <f>IFERROR(K38/L38,"Max")</f>
        <v>Max</v>
      </c>
      <c r="N38" s="13">
        <f>IF(M38="Max",400,(J38*100)+M38)</f>
        <v>400</v>
      </c>
      <c r="O38"/>
      <c r="P38" s="14">
        <v>1</v>
      </c>
      <c r="Q38" s="8" t="str">
        <f>IF($J38+$J39+$J40+$J41=6,INDEX(I38:I41,MATCH($P38,H38:H41,0)),"Pdte")</f>
        <v>Pdte</v>
      </c>
    </row>
    <row r="39" spans="1:17" s="7" customFormat="1" ht="27" customHeight="1" x14ac:dyDescent="0.35">
      <c r="A39" s="11">
        <f t="shared" si="1"/>
        <v>0.42708333333333331</v>
      </c>
      <c r="B39" s="4">
        <f>J4</f>
        <v>2</v>
      </c>
      <c r="C39" s="10" t="str">
        <f>I39</f>
        <v>CORTS-PADROSA</v>
      </c>
      <c r="D39" s="10" t="str">
        <f>I41</f>
        <v>TAGLIAFERRO-RIBEIRO</v>
      </c>
      <c r="E39" s="15"/>
      <c r="F39" s="16"/>
      <c r="H39" s="8">
        <f>RANK(N39,N38:N41,0)</f>
        <v>1</v>
      </c>
      <c r="I39" s="10" t="s">
        <v>54</v>
      </c>
      <c r="J39" s="4">
        <f>(IF(E39&gt;F39,1,IF(E39&lt;F39,0,))+(IF(E41&gt;F41,1,IF(E41&lt;F41,0,))+(IF(F42&gt;E42,1,IF(F42&lt;E42,0,)))))</f>
        <v>0</v>
      </c>
      <c r="K39" s="4">
        <f>E39+E41+F42</f>
        <v>0</v>
      </c>
      <c r="L39" s="4">
        <f>F39+F41+E42</f>
        <v>0</v>
      </c>
      <c r="M39" s="13" t="str">
        <f>IFERROR(K39/L39,"Max")</f>
        <v>Max</v>
      </c>
      <c r="N39" s="13">
        <f>IF(M39="Max",400,(J39*100)+M39)</f>
        <v>400</v>
      </c>
      <c r="O39"/>
      <c r="P39" s="14">
        <v>2</v>
      </c>
      <c r="Q39" s="8" t="str">
        <f>IF($J39+$J40+$J41+$J38=6,INDEX(I38:I41,MATCH($P39,H38:H41,0)),"Pdte")</f>
        <v>Pdte</v>
      </c>
    </row>
    <row r="40" spans="1:17" s="7" customFormat="1" ht="27" customHeight="1" x14ac:dyDescent="0.35">
      <c r="A40" s="11">
        <f t="shared" si="1"/>
        <v>0.46180555555555552</v>
      </c>
      <c r="B40" s="4">
        <f>J4</f>
        <v>2</v>
      </c>
      <c r="C40" s="10" t="str">
        <f>I38</f>
        <v>CARBO-TORRELLAS STORM</v>
      </c>
      <c r="D40" s="10" t="str">
        <f>I41</f>
        <v>TAGLIAFERRO-RIBEIRO</v>
      </c>
      <c r="E40" s="15"/>
      <c r="F40" s="16"/>
      <c r="H40" s="8">
        <f>RANK(N40,N38:N41,0)</f>
        <v>1</v>
      </c>
      <c r="I40" s="10" t="s">
        <v>55</v>
      </c>
      <c r="J40" s="4">
        <f>(IF(F38&gt;E38,1,IF(F38&lt;E38,0,))+(IF(F41&gt;E41,1,IF(F41&lt;E41,0,))+(IF(E43&gt;F43,1,IF(E43&lt;F43,0,)))))</f>
        <v>0</v>
      </c>
      <c r="K40" s="4">
        <f>F38+F41+E43</f>
        <v>0</v>
      </c>
      <c r="L40" s="4">
        <f>E38+E41+F43</f>
        <v>0</v>
      </c>
      <c r="M40" s="13" t="str">
        <f>IFERROR(K40/L40,"Max")</f>
        <v>Max</v>
      </c>
      <c r="N40" s="13">
        <f>IF(M40="Max",400,(J40*100)+M40)</f>
        <v>400</v>
      </c>
      <c r="O40"/>
      <c r="P40" s="14">
        <v>3</v>
      </c>
      <c r="Q40" s="8" t="str">
        <f>IF($J40+$J41+$J38+$J39=6,INDEX(I38:I41,MATCH($P40,H38:H41,0)),"Pdte")</f>
        <v>Pdte</v>
      </c>
    </row>
    <row r="41" spans="1:17" s="7" customFormat="1" ht="27" customHeight="1" x14ac:dyDescent="0.35">
      <c r="A41" s="11">
        <f t="shared" si="1"/>
        <v>0.49652777777777773</v>
      </c>
      <c r="B41" s="4">
        <f>J4</f>
        <v>2</v>
      </c>
      <c r="C41" s="10" t="str">
        <f>I39</f>
        <v>CORTS-PADROSA</v>
      </c>
      <c r="D41" s="10" t="str">
        <f>I40</f>
        <v>PERALES-PASCUAL</v>
      </c>
      <c r="E41" s="15"/>
      <c r="F41" s="16"/>
      <c r="H41" s="8">
        <f>RANK(N41,N38:N41,0)</f>
        <v>1</v>
      </c>
      <c r="I41" s="10" t="s">
        <v>62</v>
      </c>
      <c r="J41" s="4">
        <f>(IF(F39&gt;E39,1,IF(F39&lt;E39,0,))+(IF(F40&gt;E40,1,IF(F40&lt;E40,0,))+(IF(F43&gt;E43,1,IF(F43&lt;E43,0,)))))</f>
        <v>0</v>
      </c>
      <c r="K41" s="4">
        <f>F39+F40+F43</f>
        <v>0</v>
      </c>
      <c r="L41" s="4">
        <f>E39+E40+E43</f>
        <v>0</v>
      </c>
      <c r="M41" s="13" t="str">
        <f>IFERROR(K41/L41,"Max")</f>
        <v>Max</v>
      </c>
      <c r="N41" s="13">
        <f>IF(M41="Max",400,(J41*100)+M41)</f>
        <v>400</v>
      </c>
      <c r="O41"/>
      <c r="P41" s="14">
        <v>4</v>
      </c>
      <c r="Q41" s="8" t="str">
        <f>IF($J38+$J39+$J40+$J41=6,INDEX(I38:I41,MATCH($P41,H38:H41,0)),"Pdte")</f>
        <v>Pdte</v>
      </c>
    </row>
    <row r="42" spans="1:17" s="7" customFormat="1" ht="27" customHeight="1" x14ac:dyDescent="0.3">
      <c r="A42" s="11">
        <f t="shared" si="1"/>
        <v>0.53125</v>
      </c>
      <c r="B42" s="4">
        <f>J4</f>
        <v>2</v>
      </c>
      <c r="C42" s="10" t="str">
        <f>I38</f>
        <v>CARBO-TORRELLAS STORM</v>
      </c>
      <c r="D42" s="10" t="str">
        <f>I39</f>
        <v>CORTS-PADROSA</v>
      </c>
      <c r="E42" s="15"/>
      <c r="F42" s="16"/>
    </row>
    <row r="43" spans="1:17" s="7" customFormat="1" ht="27" customHeight="1" x14ac:dyDescent="0.3">
      <c r="A43" s="11">
        <f t="shared" si="1"/>
        <v>0.56597222222222232</v>
      </c>
      <c r="B43" s="4">
        <f>J4</f>
        <v>2</v>
      </c>
      <c r="C43" s="10" t="str">
        <f>I40</f>
        <v>PERALES-PASCUAL</v>
      </c>
      <c r="D43" s="10" t="str">
        <f>I41</f>
        <v>TAGLIAFERRO-RIBEIRO</v>
      </c>
      <c r="E43" s="15"/>
      <c r="F43" s="16"/>
    </row>
    <row r="44" spans="1:17" s="7" customFormat="1" ht="27" customHeight="1" x14ac:dyDescent="0.3">
      <c r="A44"/>
      <c r="B44" s="9"/>
      <c r="C44" s="18"/>
      <c r="D44" s="18"/>
      <c r="E44" s="19"/>
      <c r="F44" s="19"/>
    </row>
    <row r="45" spans="1:17" ht="27" customHeight="1" x14ac:dyDescent="0.3">
      <c r="A45" s="4" t="s">
        <v>19</v>
      </c>
    </row>
    <row r="46" spans="1:17" ht="27" customHeight="1" x14ac:dyDescent="0.3">
      <c r="A46" s="4" t="s">
        <v>1</v>
      </c>
      <c r="B46" s="4" t="s">
        <v>2</v>
      </c>
      <c r="C46" s="4" t="s">
        <v>3</v>
      </c>
      <c r="D46" s="4" t="s">
        <v>4</v>
      </c>
      <c r="E46" s="4" t="s">
        <v>6</v>
      </c>
      <c r="F46" s="4" t="s">
        <v>6</v>
      </c>
    </row>
    <row r="47" spans="1:17" ht="27" customHeight="1" x14ac:dyDescent="0.3">
      <c r="A47" s="9"/>
      <c r="B47" s="9"/>
      <c r="C47" s="9"/>
      <c r="D47" s="9"/>
      <c r="E47" s="9"/>
      <c r="F47" s="9"/>
    </row>
    <row r="48" spans="1:17" ht="27" customHeight="1" x14ac:dyDescent="0.3">
      <c r="A48" s="9"/>
      <c r="B48" s="9" t="s">
        <v>20</v>
      </c>
      <c r="C48" s="4" t="s">
        <v>21</v>
      </c>
      <c r="D48" s="4" t="s">
        <v>22</v>
      </c>
    </row>
    <row r="49" spans="1:13" ht="27" customHeight="1" x14ac:dyDescent="0.35">
      <c r="A49" s="20">
        <f>A26+6*$M$1</f>
        <v>0.67013888888888895</v>
      </c>
      <c r="B49" s="4">
        <f>J3</f>
        <v>1</v>
      </c>
      <c r="C49" s="4" t="str">
        <f>IF(Q12="Pdte"," ",Q12)</f>
        <v xml:space="preserve"> </v>
      </c>
      <c r="D49" s="4" t="str">
        <f>IF(Q30="Pdte"," ",Q30)</f>
        <v xml:space="preserve"> </v>
      </c>
      <c r="E49" s="21"/>
      <c r="F49" s="22"/>
      <c r="H49" s="23"/>
      <c r="I49" s="24"/>
      <c r="J49" s="24"/>
      <c r="K49" s="24"/>
      <c r="L49" s="24"/>
      <c r="M49" s="25"/>
    </row>
    <row r="50" spans="1:13" ht="27" customHeight="1" x14ac:dyDescent="0.35">
      <c r="A50" s="9"/>
      <c r="B50" s="9"/>
      <c r="H50" s="23"/>
      <c r="I50" s="24"/>
      <c r="J50" s="24"/>
      <c r="K50" s="24"/>
      <c r="L50" s="24"/>
      <c r="M50" s="25"/>
    </row>
    <row r="51" spans="1:13" ht="27" customHeight="1" x14ac:dyDescent="0.35">
      <c r="A51" s="9"/>
      <c r="B51" s="9" t="s">
        <v>24</v>
      </c>
      <c r="C51" s="4" t="s">
        <v>25</v>
      </c>
      <c r="D51" s="4" t="s">
        <v>23</v>
      </c>
      <c r="H51" s="23"/>
      <c r="I51" s="24"/>
      <c r="J51" s="24"/>
      <c r="K51" s="24"/>
      <c r="L51" s="24"/>
      <c r="M51" s="25"/>
    </row>
    <row r="52" spans="1:13" ht="27" customHeight="1" x14ac:dyDescent="0.35">
      <c r="A52" s="20">
        <f>A49+$M$1</f>
        <v>0.68750000000000011</v>
      </c>
      <c r="B52" s="4">
        <f>J3</f>
        <v>1</v>
      </c>
      <c r="C52" s="4" t="str">
        <f>IF(Q38="Pdte"," ",Q38)</f>
        <v xml:space="preserve"> </v>
      </c>
      <c r="D52" s="4" t="str">
        <f>IF(Q22="Pdte"," ",Q22)</f>
        <v xml:space="preserve"> </v>
      </c>
      <c r="E52" s="21"/>
      <c r="F52" s="22"/>
      <c r="H52" s="23"/>
      <c r="I52" s="24"/>
      <c r="J52" s="24"/>
      <c r="K52" s="24"/>
      <c r="L52" s="24"/>
      <c r="M52" s="25"/>
    </row>
    <row r="53" spans="1:13" ht="27" customHeight="1" x14ac:dyDescent="0.35">
      <c r="A53" s="9"/>
      <c r="B53" s="9"/>
      <c r="C53" s="9"/>
      <c r="D53" s="9"/>
      <c r="E53" s="9"/>
      <c r="F53" s="9"/>
      <c r="H53" s="23"/>
      <c r="I53" s="24"/>
      <c r="J53" s="24"/>
      <c r="K53" s="24"/>
      <c r="L53" s="24"/>
      <c r="M53" s="25"/>
    </row>
    <row r="54" spans="1:13" ht="27" customHeight="1" x14ac:dyDescent="0.3">
      <c r="A54" s="9"/>
      <c r="B54" s="9" t="s">
        <v>27</v>
      </c>
      <c r="C54" s="4" t="s">
        <v>28</v>
      </c>
      <c r="D54" s="4" t="s">
        <v>29</v>
      </c>
    </row>
    <row r="55" spans="1:13" ht="27" customHeight="1" x14ac:dyDescent="0.35">
      <c r="A55" s="20">
        <f>A52+$M$1</f>
        <v>0.70486111111111127</v>
      </c>
      <c r="B55" s="4">
        <f>J3</f>
        <v>1</v>
      </c>
      <c r="C55" s="4" t="str">
        <f>IF(Q21="Pdte"," ",Q21)</f>
        <v xml:space="preserve"> </v>
      </c>
      <c r="D55" s="4" t="str">
        <f>IF(Q39="Pdte"," ",Q39)</f>
        <v xml:space="preserve"> </v>
      </c>
      <c r="E55" s="21"/>
      <c r="F55" s="22"/>
      <c r="H55" s="23"/>
      <c r="I55" s="24"/>
      <c r="J55" s="24"/>
      <c r="K55" s="24"/>
      <c r="L55" s="24"/>
      <c r="M55" s="25"/>
    </row>
    <row r="56" spans="1:13" ht="27" customHeight="1" x14ac:dyDescent="0.35">
      <c r="A56" s="9"/>
      <c r="B56" s="9"/>
      <c r="H56" s="23"/>
      <c r="I56" s="24"/>
      <c r="J56" s="24"/>
      <c r="K56" s="24"/>
      <c r="L56" s="24"/>
      <c r="M56" s="25"/>
    </row>
    <row r="57" spans="1:13" ht="27" customHeight="1" x14ac:dyDescent="0.35">
      <c r="A57" s="9"/>
      <c r="B57" s="9" t="s">
        <v>31</v>
      </c>
      <c r="C57" s="4" t="s">
        <v>32</v>
      </c>
      <c r="D57" s="4" t="s">
        <v>30</v>
      </c>
      <c r="H57" s="23"/>
      <c r="I57" s="24"/>
      <c r="J57" s="24"/>
      <c r="K57" s="24"/>
      <c r="L57" s="24"/>
      <c r="M57" s="25"/>
    </row>
    <row r="58" spans="1:13" ht="27" customHeight="1" x14ac:dyDescent="0.35">
      <c r="A58" s="20">
        <f>A55+$M$1</f>
        <v>0.72222222222222243</v>
      </c>
      <c r="B58" s="4">
        <f>J3</f>
        <v>1</v>
      </c>
      <c r="C58" s="4" t="str">
        <f>IF(Q29="Pdte"," ",Q29)</f>
        <v xml:space="preserve"> </v>
      </c>
      <c r="D58" s="4" t="str">
        <f>IF(Q13="Pdte"," ",Q13)</f>
        <v xml:space="preserve"> </v>
      </c>
      <c r="E58" s="21"/>
      <c r="F58" s="22"/>
      <c r="H58" s="23"/>
      <c r="I58" s="24"/>
      <c r="J58" s="24"/>
      <c r="K58" s="24"/>
      <c r="L58" s="24"/>
      <c r="M58" s="25"/>
    </row>
    <row r="59" spans="1:13" ht="27" customHeight="1" x14ac:dyDescent="0.35">
      <c r="A59" s="26"/>
      <c r="B59" s="9"/>
      <c r="E59" s="27"/>
      <c r="F59" s="27"/>
      <c r="H59" s="23"/>
      <c r="I59" s="24"/>
      <c r="J59" s="24"/>
      <c r="K59" s="24"/>
      <c r="L59" s="24"/>
      <c r="M59" s="25"/>
    </row>
    <row r="60" spans="1:13" ht="27" customHeight="1" x14ac:dyDescent="0.35">
      <c r="A60" s="9"/>
      <c r="B60" s="9" t="s">
        <v>34</v>
      </c>
      <c r="C60" s="4" t="s">
        <v>26</v>
      </c>
      <c r="D60" s="4" t="s">
        <v>35</v>
      </c>
      <c r="H60" s="23"/>
      <c r="I60" s="24"/>
      <c r="J60" s="24"/>
      <c r="K60" s="24"/>
      <c r="L60" s="24"/>
      <c r="M60" s="25"/>
    </row>
    <row r="61" spans="1:13" ht="27" customHeight="1" x14ac:dyDescent="0.3">
      <c r="A61" s="20">
        <f>A58+$M$1</f>
        <v>0.73958333333333359</v>
      </c>
      <c r="B61" s="4">
        <f>J3</f>
        <v>1</v>
      </c>
      <c r="C61" s="4" t="str">
        <f>IF(E49&gt;F49,C49,IF(E49&lt;F49,D49," "))</f>
        <v xml:space="preserve"> </v>
      </c>
      <c r="D61" s="4" t="str">
        <f>IF(E52&gt;F52,C52,IF(E52&lt;F52,D52," "))</f>
        <v xml:space="preserve"> </v>
      </c>
      <c r="E61" s="21"/>
      <c r="F61" s="22"/>
    </row>
    <row r="62" spans="1:13" ht="27" customHeight="1" x14ac:dyDescent="0.3">
      <c r="A62" s="9"/>
      <c r="B62" s="9"/>
    </row>
    <row r="63" spans="1:13" ht="27" customHeight="1" x14ac:dyDescent="0.3">
      <c r="A63" s="9"/>
      <c r="B63" s="9" t="s">
        <v>36</v>
      </c>
      <c r="C63" s="4" t="s">
        <v>33</v>
      </c>
      <c r="D63" s="4" t="s">
        <v>37</v>
      </c>
    </row>
    <row r="64" spans="1:13" ht="27" customHeight="1" x14ac:dyDescent="0.3">
      <c r="A64" s="20">
        <f>A61+$M$1</f>
        <v>0.75694444444444475</v>
      </c>
      <c r="B64" s="4">
        <f>J3</f>
        <v>1</v>
      </c>
      <c r="C64" s="4" t="str">
        <f>IF(E55&gt;F55,C55,IF(E55&lt;F55,D55," "))</f>
        <v xml:space="preserve"> </v>
      </c>
      <c r="D64" s="4" t="str">
        <f>IF(E58&gt;F58,C58,IF(E58&lt;F58,D58," "))</f>
        <v xml:space="preserve"> </v>
      </c>
      <c r="E64" s="21"/>
      <c r="F64" s="22"/>
    </row>
    <row r="65" spans="1:6" ht="27" customHeight="1" x14ac:dyDescent="0.3">
      <c r="A65" s="9"/>
      <c r="B65" s="9"/>
    </row>
    <row r="66" spans="1:6" ht="27" customHeight="1" x14ac:dyDescent="0.3">
      <c r="A66" s="9"/>
      <c r="B66" s="9" t="s">
        <v>38</v>
      </c>
      <c r="C66" s="4" t="s">
        <v>39</v>
      </c>
      <c r="D66" s="4" t="s">
        <v>40</v>
      </c>
    </row>
    <row r="67" spans="1:6" ht="27" customHeight="1" x14ac:dyDescent="0.3">
      <c r="A67" s="20">
        <f>A64+$M$1</f>
        <v>0.77430555555555591</v>
      </c>
      <c r="B67" s="28">
        <f>J3</f>
        <v>1</v>
      </c>
      <c r="C67" s="4" t="str">
        <f>IF(E61&gt;F61,C61,IF(E61&lt;F61,D61," "))</f>
        <v xml:space="preserve"> </v>
      </c>
      <c r="D67" s="4" t="str">
        <f>IF(E64&gt;F64,C64,IF(E64&lt;F64,D64," "))</f>
        <v xml:space="preserve"> </v>
      </c>
      <c r="E67" s="21"/>
      <c r="F67" s="22"/>
    </row>
    <row r="68" spans="1:6" s="7" customFormat="1" ht="20.25" customHeight="1" x14ac:dyDescent="0.3">
      <c r="A68"/>
      <c r="B68"/>
    </row>
  </sheetData>
  <mergeCells count="1">
    <mergeCell ref="A1:F7"/>
  </mergeCells>
  <conditionalFormatting sqref="Q21:Q24">
    <cfRule type="duplicateValues" dxfId="28" priority="17"/>
  </conditionalFormatting>
  <conditionalFormatting sqref="Q12:Q15">
    <cfRule type="duplicateValues" dxfId="27" priority="16"/>
  </conditionalFormatting>
  <conditionalFormatting sqref="Q38:Q41">
    <cfRule type="duplicateValues" dxfId="26" priority="15"/>
  </conditionalFormatting>
  <conditionalFormatting sqref="Q29:Q32">
    <cfRule type="duplicateValues" dxfId="25" priority="1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G15" sqref="G15"/>
    </sheetView>
  </sheetViews>
  <sheetFormatPr baseColWidth="10" defaultRowHeight="14.4" x14ac:dyDescent="0.3"/>
  <cols>
    <col min="1" max="1" width="15.44140625" customWidth="1"/>
    <col min="2" max="2" width="5.33203125" bestFit="1" customWidth="1"/>
    <col min="3" max="4" width="39.5546875" bestFit="1" customWidth="1"/>
    <col min="5" max="5" width="11.44140625" style="7"/>
    <col min="7" max="7" width="27.109375" bestFit="1" customWidth="1"/>
    <col min="9" max="9" width="46.5546875" style="7" bestFit="1" customWidth="1"/>
    <col min="10" max="10" width="50.44140625" style="7" bestFit="1" customWidth="1"/>
    <col min="11" max="11" width="15.33203125" bestFit="1" customWidth="1"/>
    <col min="12" max="12" width="10" customWidth="1"/>
    <col min="13" max="13" width="6.6640625" bestFit="1" customWidth="1"/>
    <col min="18" max="18" width="19.109375" customWidth="1"/>
    <col min="257" max="257" width="15.44140625" customWidth="1"/>
    <col min="258" max="258" width="5.33203125" bestFit="1" customWidth="1"/>
    <col min="259" max="260" width="39.5546875" bestFit="1" customWidth="1"/>
    <col min="265" max="265" width="39.5546875" bestFit="1" customWidth="1"/>
    <col min="266" max="266" width="47" bestFit="1" customWidth="1"/>
    <col min="267" max="267" width="15.33203125" bestFit="1" customWidth="1"/>
    <col min="268" max="268" width="6.5546875" bestFit="1" customWidth="1"/>
    <col min="269" max="269" width="6.6640625" bestFit="1" customWidth="1"/>
    <col min="274" max="274" width="19.109375" customWidth="1"/>
    <col min="513" max="513" width="15.44140625" customWidth="1"/>
    <col min="514" max="514" width="5.33203125" bestFit="1" customWidth="1"/>
    <col min="515" max="516" width="39.5546875" bestFit="1" customWidth="1"/>
    <col min="521" max="521" width="39.5546875" bestFit="1" customWidth="1"/>
    <col min="522" max="522" width="47" bestFit="1" customWidth="1"/>
    <col min="523" max="523" width="15.33203125" bestFit="1" customWidth="1"/>
    <col min="524" max="524" width="6.5546875" bestFit="1" customWidth="1"/>
    <col min="525" max="525" width="6.6640625" bestFit="1" customWidth="1"/>
    <col min="530" max="530" width="19.109375" customWidth="1"/>
    <col min="769" max="769" width="15.44140625" customWidth="1"/>
    <col min="770" max="770" width="5.33203125" bestFit="1" customWidth="1"/>
    <col min="771" max="772" width="39.5546875" bestFit="1" customWidth="1"/>
    <col min="777" max="777" width="39.5546875" bestFit="1" customWidth="1"/>
    <col min="778" max="778" width="47" bestFit="1" customWidth="1"/>
    <col min="779" max="779" width="15.33203125" bestFit="1" customWidth="1"/>
    <col min="780" max="780" width="6.5546875" bestFit="1" customWidth="1"/>
    <col min="781" max="781" width="6.6640625" bestFit="1" customWidth="1"/>
    <col min="786" max="786" width="19.109375" customWidth="1"/>
    <col min="1025" max="1025" width="15.44140625" customWidth="1"/>
    <col min="1026" max="1026" width="5.33203125" bestFit="1" customWidth="1"/>
    <col min="1027" max="1028" width="39.5546875" bestFit="1" customWidth="1"/>
    <col min="1033" max="1033" width="39.5546875" bestFit="1" customWidth="1"/>
    <col min="1034" max="1034" width="47" bestFit="1" customWidth="1"/>
    <col min="1035" max="1035" width="15.33203125" bestFit="1" customWidth="1"/>
    <col min="1036" max="1036" width="6.5546875" bestFit="1" customWidth="1"/>
    <col min="1037" max="1037" width="6.6640625" bestFit="1" customWidth="1"/>
    <col min="1042" max="1042" width="19.109375" customWidth="1"/>
    <col min="1281" max="1281" width="15.44140625" customWidth="1"/>
    <col min="1282" max="1282" width="5.33203125" bestFit="1" customWidth="1"/>
    <col min="1283" max="1284" width="39.5546875" bestFit="1" customWidth="1"/>
    <col min="1289" max="1289" width="39.5546875" bestFit="1" customWidth="1"/>
    <col min="1290" max="1290" width="47" bestFit="1" customWidth="1"/>
    <col min="1291" max="1291" width="15.33203125" bestFit="1" customWidth="1"/>
    <col min="1292" max="1292" width="6.5546875" bestFit="1" customWidth="1"/>
    <col min="1293" max="1293" width="6.6640625" bestFit="1" customWidth="1"/>
    <col min="1298" max="1298" width="19.109375" customWidth="1"/>
    <col min="1537" max="1537" width="15.44140625" customWidth="1"/>
    <col min="1538" max="1538" width="5.33203125" bestFit="1" customWidth="1"/>
    <col min="1539" max="1540" width="39.5546875" bestFit="1" customWidth="1"/>
    <col min="1545" max="1545" width="39.5546875" bestFit="1" customWidth="1"/>
    <col min="1546" max="1546" width="47" bestFit="1" customWidth="1"/>
    <col min="1547" max="1547" width="15.33203125" bestFit="1" customWidth="1"/>
    <col min="1548" max="1548" width="6.5546875" bestFit="1" customWidth="1"/>
    <col min="1549" max="1549" width="6.6640625" bestFit="1" customWidth="1"/>
    <col min="1554" max="1554" width="19.109375" customWidth="1"/>
    <col min="1793" max="1793" width="15.44140625" customWidth="1"/>
    <col min="1794" max="1794" width="5.33203125" bestFit="1" customWidth="1"/>
    <col min="1795" max="1796" width="39.5546875" bestFit="1" customWidth="1"/>
    <col min="1801" max="1801" width="39.5546875" bestFit="1" customWidth="1"/>
    <col min="1802" max="1802" width="47" bestFit="1" customWidth="1"/>
    <col min="1803" max="1803" width="15.33203125" bestFit="1" customWidth="1"/>
    <col min="1804" max="1804" width="6.5546875" bestFit="1" customWidth="1"/>
    <col min="1805" max="1805" width="6.6640625" bestFit="1" customWidth="1"/>
    <col min="1810" max="1810" width="19.109375" customWidth="1"/>
    <col min="2049" max="2049" width="15.44140625" customWidth="1"/>
    <col min="2050" max="2050" width="5.33203125" bestFit="1" customWidth="1"/>
    <col min="2051" max="2052" width="39.5546875" bestFit="1" customWidth="1"/>
    <col min="2057" max="2057" width="39.5546875" bestFit="1" customWidth="1"/>
    <col min="2058" max="2058" width="47" bestFit="1" customWidth="1"/>
    <col min="2059" max="2059" width="15.33203125" bestFit="1" customWidth="1"/>
    <col min="2060" max="2060" width="6.5546875" bestFit="1" customWidth="1"/>
    <col min="2061" max="2061" width="6.6640625" bestFit="1" customWidth="1"/>
    <col min="2066" max="2066" width="19.109375" customWidth="1"/>
    <col min="2305" max="2305" width="15.44140625" customWidth="1"/>
    <col min="2306" max="2306" width="5.33203125" bestFit="1" customWidth="1"/>
    <col min="2307" max="2308" width="39.5546875" bestFit="1" customWidth="1"/>
    <col min="2313" max="2313" width="39.5546875" bestFit="1" customWidth="1"/>
    <col min="2314" max="2314" width="47" bestFit="1" customWidth="1"/>
    <col min="2315" max="2315" width="15.33203125" bestFit="1" customWidth="1"/>
    <col min="2316" max="2316" width="6.5546875" bestFit="1" customWidth="1"/>
    <col min="2317" max="2317" width="6.6640625" bestFit="1" customWidth="1"/>
    <col min="2322" max="2322" width="19.109375" customWidth="1"/>
    <col min="2561" max="2561" width="15.44140625" customWidth="1"/>
    <col min="2562" max="2562" width="5.33203125" bestFit="1" customWidth="1"/>
    <col min="2563" max="2564" width="39.5546875" bestFit="1" customWidth="1"/>
    <col min="2569" max="2569" width="39.5546875" bestFit="1" customWidth="1"/>
    <col min="2570" max="2570" width="47" bestFit="1" customWidth="1"/>
    <col min="2571" max="2571" width="15.33203125" bestFit="1" customWidth="1"/>
    <col min="2572" max="2572" width="6.5546875" bestFit="1" customWidth="1"/>
    <col min="2573" max="2573" width="6.6640625" bestFit="1" customWidth="1"/>
    <col min="2578" max="2578" width="19.109375" customWidth="1"/>
    <col min="2817" max="2817" width="15.44140625" customWidth="1"/>
    <col min="2818" max="2818" width="5.33203125" bestFit="1" customWidth="1"/>
    <col min="2819" max="2820" width="39.5546875" bestFit="1" customWidth="1"/>
    <col min="2825" max="2825" width="39.5546875" bestFit="1" customWidth="1"/>
    <col min="2826" max="2826" width="47" bestFit="1" customWidth="1"/>
    <col min="2827" max="2827" width="15.33203125" bestFit="1" customWidth="1"/>
    <col min="2828" max="2828" width="6.5546875" bestFit="1" customWidth="1"/>
    <col min="2829" max="2829" width="6.6640625" bestFit="1" customWidth="1"/>
    <col min="2834" max="2834" width="19.109375" customWidth="1"/>
    <col min="3073" max="3073" width="15.44140625" customWidth="1"/>
    <col min="3074" max="3074" width="5.33203125" bestFit="1" customWidth="1"/>
    <col min="3075" max="3076" width="39.5546875" bestFit="1" customWidth="1"/>
    <col min="3081" max="3081" width="39.5546875" bestFit="1" customWidth="1"/>
    <col min="3082" max="3082" width="47" bestFit="1" customWidth="1"/>
    <col min="3083" max="3083" width="15.33203125" bestFit="1" customWidth="1"/>
    <col min="3084" max="3084" width="6.5546875" bestFit="1" customWidth="1"/>
    <col min="3085" max="3085" width="6.6640625" bestFit="1" customWidth="1"/>
    <col min="3090" max="3090" width="19.109375" customWidth="1"/>
    <col min="3329" max="3329" width="15.44140625" customWidth="1"/>
    <col min="3330" max="3330" width="5.33203125" bestFit="1" customWidth="1"/>
    <col min="3331" max="3332" width="39.5546875" bestFit="1" customWidth="1"/>
    <col min="3337" max="3337" width="39.5546875" bestFit="1" customWidth="1"/>
    <col min="3338" max="3338" width="47" bestFit="1" customWidth="1"/>
    <col min="3339" max="3339" width="15.33203125" bestFit="1" customWidth="1"/>
    <col min="3340" max="3340" width="6.5546875" bestFit="1" customWidth="1"/>
    <col min="3341" max="3341" width="6.6640625" bestFit="1" customWidth="1"/>
    <col min="3346" max="3346" width="19.109375" customWidth="1"/>
    <col min="3585" max="3585" width="15.44140625" customWidth="1"/>
    <col min="3586" max="3586" width="5.33203125" bestFit="1" customWidth="1"/>
    <col min="3587" max="3588" width="39.5546875" bestFit="1" customWidth="1"/>
    <col min="3593" max="3593" width="39.5546875" bestFit="1" customWidth="1"/>
    <col min="3594" max="3594" width="47" bestFit="1" customWidth="1"/>
    <col min="3595" max="3595" width="15.33203125" bestFit="1" customWidth="1"/>
    <col min="3596" max="3596" width="6.5546875" bestFit="1" customWidth="1"/>
    <col min="3597" max="3597" width="6.6640625" bestFit="1" customWidth="1"/>
    <col min="3602" max="3602" width="19.109375" customWidth="1"/>
    <col min="3841" max="3841" width="15.44140625" customWidth="1"/>
    <col min="3842" max="3842" width="5.33203125" bestFit="1" customWidth="1"/>
    <col min="3843" max="3844" width="39.5546875" bestFit="1" customWidth="1"/>
    <col min="3849" max="3849" width="39.5546875" bestFit="1" customWidth="1"/>
    <col min="3850" max="3850" width="47" bestFit="1" customWidth="1"/>
    <col min="3851" max="3851" width="15.33203125" bestFit="1" customWidth="1"/>
    <col min="3852" max="3852" width="6.5546875" bestFit="1" customWidth="1"/>
    <col min="3853" max="3853" width="6.6640625" bestFit="1" customWidth="1"/>
    <col min="3858" max="3858" width="19.109375" customWidth="1"/>
    <col min="4097" max="4097" width="15.44140625" customWidth="1"/>
    <col min="4098" max="4098" width="5.33203125" bestFit="1" customWidth="1"/>
    <col min="4099" max="4100" width="39.5546875" bestFit="1" customWidth="1"/>
    <col min="4105" max="4105" width="39.5546875" bestFit="1" customWidth="1"/>
    <col min="4106" max="4106" width="47" bestFit="1" customWidth="1"/>
    <col min="4107" max="4107" width="15.33203125" bestFit="1" customWidth="1"/>
    <col min="4108" max="4108" width="6.5546875" bestFit="1" customWidth="1"/>
    <col min="4109" max="4109" width="6.6640625" bestFit="1" customWidth="1"/>
    <col min="4114" max="4114" width="19.109375" customWidth="1"/>
    <col min="4353" max="4353" width="15.44140625" customWidth="1"/>
    <col min="4354" max="4354" width="5.33203125" bestFit="1" customWidth="1"/>
    <col min="4355" max="4356" width="39.5546875" bestFit="1" customWidth="1"/>
    <col min="4361" max="4361" width="39.5546875" bestFit="1" customWidth="1"/>
    <col min="4362" max="4362" width="47" bestFit="1" customWidth="1"/>
    <col min="4363" max="4363" width="15.33203125" bestFit="1" customWidth="1"/>
    <col min="4364" max="4364" width="6.5546875" bestFit="1" customWidth="1"/>
    <col min="4365" max="4365" width="6.6640625" bestFit="1" customWidth="1"/>
    <col min="4370" max="4370" width="19.109375" customWidth="1"/>
    <col min="4609" max="4609" width="15.44140625" customWidth="1"/>
    <col min="4610" max="4610" width="5.33203125" bestFit="1" customWidth="1"/>
    <col min="4611" max="4612" width="39.5546875" bestFit="1" customWidth="1"/>
    <col min="4617" max="4617" width="39.5546875" bestFit="1" customWidth="1"/>
    <col min="4618" max="4618" width="47" bestFit="1" customWidth="1"/>
    <col min="4619" max="4619" width="15.33203125" bestFit="1" customWidth="1"/>
    <col min="4620" max="4620" width="6.5546875" bestFit="1" customWidth="1"/>
    <col min="4621" max="4621" width="6.6640625" bestFit="1" customWidth="1"/>
    <col min="4626" max="4626" width="19.109375" customWidth="1"/>
    <col min="4865" max="4865" width="15.44140625" customWidth="1"/>
    <col min="4866" max="4866" width="5.33203125" bestFit="1" customWidth="1"/>
    <col min="4867" max="4868" width="39.5546875" bestFit="1" customWidth="1"/>
    <col min="4873" max="4873" width="39.5546875" bestFit="1" customWidth="1"/>
    <col min="4874" max="4874" width="47" bestFit="1" customWidth="1"/>
    <col min="4875" max="4875" width="15.33203125" bestFit="1" customWidth="1"/>
    <col min="4876" max="4876" width="6.5546875" bestFit="1" customWidth="1"/>
    <col min="4877" max="4877" width="6.6640625" bestFit="1" customWidth="1"/>
    <col min="4882" max="4882" width="19.109375" customWidth="1"/>
    <col min="5121" max="5121" width="15.44140625" customWidth="1"/>
    <col min="5122" max="5122" width="5.33203125" bestFit="1" customWidth="1"/>
    <col min="5123" max="5124" width="39.5546875" bestFit="1" customWidth="1"/>
    <col min="5129" max="5129" width="39.5546875" bestFit="1" customWidth="1"/>
    <col min="5130" max="5130" width="47" bestFit="1" customWidth="1"/>
    <col min="5131" max="5131" width="15.33203125" bestFit="1" customWidth="1"/>
    <col min="5132" max="5132" width="6.5546875" bestFit="1" customWidth="1"/>
    <col min="5133" max="5133" width="6.6640625" bestFit="1" customWidth="1"/>
    <col min="5138" max="5138" width="19.109375" customWidth="1"/>
    <col min="5377" max="5377" width="15.44140625" customWidth="1"/>
    <col min="5378" max="5378" width="5.33203125" bestFit="1" customWidth="1"/>
    <col min="5379" max="5380" width="39.5546875" bestFit="1" customWidth="1"/>
    <col min="5385" max="5385" width="39.5546875" bestFit="1" customWidth="1"/>
    <col min="5386" max="5386" width="47" bestFit="1" customWidth="1"/>
    <col min="5387" max="5387" width="15.33203125" bestFit="1" customWidth="1"/>
    <col min="5388" max="5388" width="6.5546875" bestFit="1" customWidth="1"/>
    <col min="5389" max="5389" width="6.6640625" bestFit="1" customWidth="1"/>
    <col min="5394" max="5394" width="19.109375" customWidth="1"/>
    <col min="5633" max="5633" width="15.44140625" customWidth="1"/>
    <col min="5634" max="5634" width="5.33203125" bestFit="1" customWidth="1"/>
    <col min="5635" max="5636" width="39.5546875" bestFit="1" customWidth="1"/>
    <col min="5641" max="5641" width="39.5546875" bestFit="1" customWidth="1"/>
    <col min="5642" max="5642" width="47" bestFit="1" customWidth="1"/>
    <col min="5643" max="5643" width="15.33203125" bestFit="1" customWidth="1"/>
    <col min="5644" max="5644" width="6.5546875" bestFit="1" customWidth="1"/>
    <col min="5645" max="5645" width="6.6640625" bestFit="1" customWidth="1"/>
    <col min="5650" max="5650" width="19.109375" customWidth="1"/>
    <col min="5889" max="5889" width="15.44140625" customWidth="1"/>
    <col min="5890" max="5890" width="5.33203125" bestFit="1" customWidth="1"/>
    <col min="5891" max="5892" width="39.5546875" bestFit="1" customWidth="1"/>
    <col min="5897" max="5897" width="39.5546875" bestFit="1" customWidth="1"/>
    <col min="5898" max="5898" width="47" bestFit="1" customWidth="1"/>
    <col min="5899" max="5899" width="15.33203125" bestFit="1" customWidth="1"/>
    <col min="5900" max="5900" width="6.5546875" bestFit="1" customWidth="1"/>
    <col min="5901" max="5901" width="6.6640625" bestFit="1" customWidth="1"/>
    <col min="5906" max="5906" width="19.109375" customWidth="1"/>
    <col min="6145" max="6145" width="15.44140625" customWidth="1"/>
    <col min="6146" max="6146" width="5.33203125" bestFit="1" customWidth="1"/>
    <col min="6147" max="6148" width="39.5546875" bestFit="1" customWidth="1"/>
    <col min="6153" max="6153" width="39.5546875" bestFit="1" customWidth="1"/>
    <col min="6154" max="6154" width="47" bestFit="1" customWidth="1"/>
    <col min="6155" max="6155" width="15.33203125" bestFit="1" customWidth="1"/>
    <col min="6156" max="6156" width="6.5546875" bestFit="1" customWidth="1"/>
    <col min="6157" max="6157" width="6.6640625" bestFit="1" customWidth="1"/>
    <col min="6162" max="6162" width="19.109375" customWidth="1"/>
    <col min="6401" max="6401" width="15.44140625" customWidth="1"/>
    <col min="6402" max="6402" width="5.33203125" bestFit="1" customWidth="1"/>
    <col min="6403" max="6404" width="39.5546875" bestFit="1" customWidth="1"/>
    <col min="6409" max="6409" width="39.5546875" bestFit="1" customWidth="1"/>
    <col min="6410" max="6410" width="47" bestFit="1" customWidth="1"/>
    <col min="6411" max="6411" width="15.33203125" bestFit="1" customWidth="1"/>
    <col min="6412" max="6412" width="6.5546875" bestFit="1" customWidth="1"/>
    <col min="6413" max="6413" width="6.6640625" bestFit="1" customWidth="1"/>
    <col min="6418" max="6418" width="19.109375" customWidth="1"/>
    <col min="6657" max="6657" width="15.44140625" customWidth="1"/>
    <col min="6658" max="6658" width="5.33203125" bestFit="1" customWidth="1"/>
    <col min="6659" max="6660" width="39.5546875" bestFit="1" customWidth="1"/>
    <col min="6665" max="6665" width="39.5546875" bestFit="1" customWidth="1"/>
    <col min="6666" max="6666" width="47" bestFit="1" customWidth="1"/>
    <col min="6667" max="6667" width="15.33203125" bestFit="1" customWidth="1"/>
    <col min="6668" max="6668" width="6.5546875" bestFit="1" customWidth="1"/>
    <col min="6669" max="6669" width="6.6640625" bestFit="1" customWidth="1"/>
    <col min="6674" max="6674" width="19.109375" customWidth="1"/>
    <col min="6913" max="6913" width="15.44140625" customWidth="1"/>
    <col min="6914" max="6914" width="5.33203125" bestFit="1" customWidth="1"/>
    <col min="6915" max="6916" width="39.5546875" bestFit="1" customWidth="1"/>
    <col min="6921" max="6921" width="39.5546875" bestFit="1" customWidth="1"/>
    <col min="6922" max="6922" width="47" bestFit="1" customWidth="1"/>
    <col min="6923" max="6923" width="15.33203125" bestFit="1" customWidth="1"/>
    <col min="6924" max="6924" width="6.5546875" bestFit="1" customWidth="1"/>
    <col min="6925" max="6925" width="6.6640625" bestFit="1" customWidth="1"/>
    <col min="6930" max="6930" width="19.109375" customWidth="1"/>
    <col min="7169" max="7169" width="15.44140625" customWidth="1"/>
    <col min="7170" max="7170" width="5.33203125" bestFit="1" customWidth="1"/>
    <col min="7171" max="7172" width="39.5546875" bestFit="1" customWidth="1"/>
    <col min="7177" max="7177" width="39.5546875" bestFit="1" customWidth="1"/>
    <col min="7178" max="7178" width="47" bestFit="1" customWidth="1"/>
    <col min="7179" max="7179" width="15.33203125" bestFit="1" customWidth="1"/>
    <col min="7180" max="7180" width="6.5546875" bestFit="1" customWidth="1"/>
    <col min="7181" max="7181" width="6.6640625" bestFit="1" customWidth="1"/>
    <col min="7186" max="7186" width="19.109375" customWidth="1"/>
    <col min="7425" max="7425" width="15.44140625" customWidth="1"/>
    <col min="7426" max="7426" width="5.33203125" bestFit="1" customWidth="1"/>
    <col min="7427" max="7428" width="39.5546875" bestFit="1" customWidth="1"/>
    <col min="7433" max="7433" width="39.5546875" bestFit="1" customWidth="1"/>
    <col min="7434" max="7434" width="47" bestFit="1" customWidth="1"/>
    <col min="7435" max="7435" width="15.33203125" bestFit="1" customWidth="1"/>
    <col min="7436" max="7436" width="6.5546875" bestFit="1" customWidth="1"/>
    <col min="7437" max="7437" width="6.6640625" bestFit="1" customWidth="1"/>
    <col min="7442" max="7442" width="19.109375" customWidth="1"/>
    <col min="7681" max="7681" width="15.44140625" customWidth="1"/>
    <col min="7682" max="7682" width="5.33203125" bestFit="1" customWidth="1"/>
    <col min="7683" max="7684" width="39.5546875" bestFit="1" customWidth="1"/>
    <col min="7689" max="7689" width="39.5546875" bestFit="1" customWidth="1"/>
    <col min="7690" max="7690" width="47" bestFit="1" customWidth="1"/>
    <col min="7691" max="7691" width="15.33203125" bestFit="1" customWidth="1"/>
    <col min="7692" max="7692" width="6.5546875" bestFit="1" customWidth="1"/>
    <col min="7693" max="7693" width="6.6640625" bestFit="1" customWidth="1"/>
    <col min="7698" max="7698" width="19.109375" customWidth="1"/>
    <col min="7937" max="7937" width="15.44140625" customWidth="1"/>
    <col min="7938" max="7938" width="5.33203125" bestFit="1" customWidth="1"/>
    <col min="7939" max="7940" width="39.5546875" bestFit="1" customWidth="1"/>
    <col min="7945" max="7945" width="39.5546875" bestFit="1" customWidth="1"/>
    <col min="7946" max="7946" width="47" bestFit="1" customWidth="1"/>
    <col min="7947" max="7947" width="15.33203125" bestFit="1" customWidth="1"/>
    <col min="7948" max="7948" width="6.5546875" bestFit="1" customWidth="1"/>
    <col min="7949" max="7949" width="6.6640625" bestFit="1" customWidth="1"/>
    <col min="7954" max="7954" width="19.109375" customWidth="1"/>
    <col min="8193" max="8193" width="15.44140625" customWidth="1"/>
    <col min="8194" max="8194" width="5.33203125" bestFit="1" customWidth="1"/>
    <col min="8195" max="8196" width="39.5546875" bestFit="1" customWidth="1"/>
    <col min="8201" max="8201" width="39.5546875" bestFit="1" customWidth="1"/>
    <col min="8202" max="8202" width="47" bestFit="1" customWidth="1"/>
    <col min="8203" max="8203" width="15.33203125" bestFit="1" customWidth="1"/>
    <col min="8204" max="8204" width="6.5546875" bestFit="1" customWidth="1"/>
    <col min="8205" max="8205" width="6.6640625" bestFit="1" customWidth="1"/>
    <col min="8210" max="8210" width="19.109375" customWidth="1"/>
    <col min="8449" max="8449" width="15.44140625" customWidth="1"/>
    <col min="8450" max="8450" width="5.33203125" bestFit="1" customWidth="1"/>
    <col min="8451" max="8452" width="39.5546875" bestFit="1" customWidth="1"/>
    <col min="8457" max="8457" width="39.5546875" bestFit="1" customWidth="1"/>
    <col min="8458" max="8458" width="47" bestFit="1" customWidth="1"/>
    <col min="8459" max="8459" width="15.33203125" bestFit="1" customWidth="1"/>
    <col min="8460" max="8460" width="6.5546875" bestFit="1" customWidth="1"/>
    <col min="8461" max="8461" width="6.6640625" bestFit="1" customWidth="1"/>
    <col min="8466" max="8466" width="19.109375" customWidth="1"/>
    <col min="8705" max="8705" width="15.44140625" customWidth="1"/>
    <col min="8706" max="8706" width="5.33203125" bestFit="1" customWidth="1"/>
    <col min="8707" max="8708" width="39.5546875" bestFit="1" customWidth="1"/>
    <col min="8713" max="8713" width="39.5546875" bestFit="1" customWidth="1"/>
    <col min="8714" max="8714" width="47" bestFit="1" customWidth="1"/>
    <col min="8715" max="8715" width="15.33203125" bestFit="1" customWidth="1"/>
    <col min="8716" max="8716" width="6.5546875" bestFit="1" customWidth="1"/>
    <col min="8717" max="8717" width="6.6640625" bestFit="1" customWidth="1"/>
    <col min="8722" max="8722" width="19.109375" customWidth="1"/>
    <col min="8961" max="8961" width="15.44140625" customWidth="1"/>
    <col min="8962" max="8962" width="5.33203125" bestFit="1" customWidth="1"/>
    <col min="8963" max="8964" width="39.5546875" bestFit="1" customWidth="1"/>
    <col min="8969" max="8969" width="39.5546875" bestFit="1" customWidth="1"/>
    <col min="8970" max="8970" width="47" bestFit="1" customWidth="1"/>
    <col min="8971" max="8971" width="15.33203125" bestFit="1" customWidth="1"/>
    <col min="8972" max="8972" width="6.5546875" bestFit="1" customWidth="1"/>
    <col min="8973" max="8973" width="6.6640625" bestFit="1" customWidth="1"/>
    <col min="8978" max="8978" width="19.109375" customWidth="1"/>
    <col min="9217" max="9217" width="15.44140625" customWidth="1"/>
    <col min="9218" max="9218" width="5.33203125" bestFit="1" customWidth="1"/>
    <col min="9219" max="9220" width="39.5546875" bestFit="1" customWidth="1"/>
    <col min="9225" max="9225" width="39.5546875" bestFit="1" customWidth="1"/>
    <col min="9226" max="9226" width="47" bestFit="1" customWidth="1"/>
    <col min="9227" max="9227" width="15.33203125" bestFit="1" customWidth="1"/>
    <col min="9228" max="9228" width="6.5546875" bestFit="1" customWidth="1"/>
    <col min="9229" max="9229" width="6.6640625" bestFit="1" customWidth="1"/>
    <col min="9234" max="9234" width="19.109375" customWidth="1"/>
    <col min="9473" max="9473" width="15.44140625" customWidth="1"/>
    <col min="9474" max="9474" width="5.33203125" bestFit="1" customWidth="1"/>
    <col min="9475" max="9476" width="39.5546875" bestFit="1" customWidth="1"/>
    <col min="9481" max="9481" width="39.5546875" bestFit="1" customWidth="1"/>
    <col min="9482" max="9482" width="47" bestFit="1" customWidth="1"/>
    <col min="9483" max="9483" width="15.33203125" bestFit="1" customWidth="1"/>
    <col min="9484" max="9484" width="6.5546875" bestFit="1" customWidth="1"/>
    <col min="9485" max="9485" width="6.6640625" bestFit="1" customWidth="1"/>
    <col min="9490" max="9490" width="19.109375" customWidth="1"/>
    <col min="9729" max="9729" width="15.44140625" customWidth="1"/>
    <col min="9730" max="9730" width="5.33203125" bestFit="1" customWidth="1"/>
    <col min="9731" max="9732" width="39.5546875" bestFit="1" customWidth="1"/>
    <col min="9737" max="9737" width="39.5546875" bestFit="1" customWidth="1"/>
    <col min="9738" max="9738" width="47" bestFit="1" customWidth="1"/>
    <col min="9739" max="9739" width="15.33203125" bestFit="1" customWidth="1"/>
    <col min="9740" max="9740" width="6.5546875" bestFit="1" customWidth="1"/>
    <col min="9741" max="9741" width="6.6640625" bestFit="1" customWidth="1"/>
    <col min="9746" max="9746" width="19.109375" customWidth="1"/>
    <col min="9985" max="9985" width="15.44140625" customWidth="1"/>
    <col min="9986" max="9986" width="5.33203125" bestFit="1" customWidth="1"/>
    <col min="9987" max="9988" width="39.5546875" bestFit="1" customWidth="1"/>
    <col min="9993" max="9993" width="39.5546875" bestFit="1" customWidth="1"/>
    <col min="9994" max="9994" width="47" bestFit="1" customWidth="1"/>
    <col min="9995" max="9995" width="15.33203125" bestFit="1" customWidth="1"/>
    <col min="9996" max="9996" width="6.5546875" bestFit="1" customWidth="1"/>
    <col min="9997" max="9997" width="6.6640625" bestFit="1" customWidth="1"/>
    <col min="10002" max="10002" width="19.109375" customWidth="1"/>
    <col min="10241" max="10241" width="15.44140625" customWidth="1"/>
    <col min="10242" max="10242" width="5.33203125" bestFit="1" customWidth="1"/>
    <col min="10243" max="10244" width="39.5546875" bestFit="1" customWidth="1"/>
    <col min="10249" max="10249" width="39.5546875" bestFit="1" customWidth="1"/>
    <col min="10250" max="10250" width="47" bestFit="1" customWidth="1"/>
    <col min="10251" max="10251" width="15.33203125" bestFit="1" customWidth="1"/>
    <col min="10252" max="10252" width="6.5546875" bestFit="1" customWidth="1"/>
    <col min="10253" max="10253" width="6.6640625" bestFit="1" customWidth="1"/>
    <col min="10258" max="10258" width="19.109375" customWidth="1"/>
    <col min="10497" max="10497" width="15.44140625" customWidth="1"/>
    <col min="10498" max="10498" width="5.33203125" bestFit="1" customWidth="1"/>
    <col min="10499" max="10500" width="39.5546875" bestFit="1" customWidth="1"/>
    <col min="10505" max="10505" width="39.5546875" bestFit="1" customWidth="1"/>
    <col min="10506" max="10506" width="47" bestFit="1" customWidth="1"/>
    <col min="10507" max="10507" width="15.33203125" bestFit="1" customWidth="1"/>
    <col min="10508" max="10508" width="6.5546875" bestFit="1" customWidth="1"/>
    <col min="10509" max="10509" width="6.6640625" bestFit="1" customWidth="1"/>
    <col min="10514" max="10514" width="19.109375" customWidth="1"/>
    <col min="10753" max="10753" width="15.44140625" customWidth="1"/>
    <col min="10754" max="10754" width="5.33203125" bestFit="1" customWidth="1"/>
    <col min="10755" max="10756" width="39.5546875" bestFit="1" customWidth="1"/>
    <col min="10761" max="10761" width="39.5546875" bestFit="1" customWidth="1"/>
    <col min="10762" max="10762" width="47" bestFit="1" customWidth="1"/>
    <col min="10763" max="10763" width="15.33203125" bestFit="1" customWidth="1"/>
    <col min="10764" max="10764" width="6.5546875" bestFit="1" customWidth="1"/>
    <col min="10765" max="10765" width="6.6640625" bestFit="1" customWidth="1"/>
    <col min="10770" max="10770" width="19.109375" customWidth="1"/>
    <col min="11009" max="11009" width="15.44140625" customWidth="1"/>
    <col min="11010" max="11010" width="5.33203125" bestFit="1" customWidth="1"/>
    <col min="11011" max="11012" width="39.5546875" bestFit="1" customWidth="1"/>
    <col min="11017" max="11017" width="39.5546875" bestFit="1" customWidth="1"/>
    <col min="11018" max="11018" width="47" bestFit="1" customWidth="1"/>
    <col min="11019" max="11019" width="15.33203125" bestFit="1" customWidth="1"/>
    <col min="11020" max="11020" width="6.5546875" bestFit="1" customWidth="1"/>
    <col min="11021" max="11021" width="6.6640625" bestFit="1" customWidth="1"/>
    <col min="11026" max="11026" width="19.109375" customWidth="1"/>
    <col min="11265" max="11265" width="15.44140625" customWidth="1"/>
    <col min="11266" max="11266" width="5.33203125" bestFit="1" customWidth="1"/>
    <col min="11267" max="11268" width="39.5546875" bestFit="1" customWidth="1"/>
    <col min="11273" max="11273" width="39.5546875" bestFit="1" customWidth="1"/>
    <col min="11274" max="11274" width="47" bestFit="1" customWidth="1"/>
    <col min="11275" max="11275" width="15.33203125" bestFit="1" customWidth="1"/>
    <col min="11276" max="11276" width="6.5546875" bestFit="1" customWidth="1"/>
    <col min="11277" max="11277" width="6.6640625" bestFit="1" customWidth="1"/>
    <col min="11282" max="11282" width="19.109375" customWidth="1"/>
    <col min="11521" max="11521" width="15.44140625" customWidth="1"/>
    <col min="11522" max="11522" width="5.33203125" bestFit="1" customWidth="1"/>
    <col min="11523" max="11524" width="39.5546875" bestFit="1" customWidth="1"/>
    <col min="11529" max="11529" width="39.5546875" bestFit="1" customWidth="1"/>
    <col min="11530" max="11530" width="47" bestFit="1" customWidth="1"/>
    <col min="11531" max="11531" width="15.33203125" bestFit="1" customWidth="1"/>
    <col min="11532" max="11532" width="6.5546875" bestFit="1" customWidth="1"/>
    <col min="11533" max="11533" width="6.6640625" bestFit="1" customWidth="1"/>
    <col min="11538" max="11538" width="19.109375" customWidth="1"/>
    <col min="11777" max="11777" width="15.44140625" customWidth="1"/>
    <col min="11778" max="11778" width="5.33203125" bestFit="1" customWidth="1"/>
    <col min="11779" max="11780" width="39.5546875" bestFit="1" customWidth="1"/>
    <col min="11785" max="11785" width="39.5546875" bestFit="1" customWidth="1"/>
    <col min="11786" max="11786" width="47" bestFit="1" customWidth="1"/>
    <col min="11787" max="11787" width="15.33203125" bestFit="1" customWidth="1"/>
    <col min="11788" max="11788" width="6.5546875" bestFit="1" customWidth="1"/>
    <col min="11789" max="11789" width="6.6640625" bestFit="1" customWidth="1"/>
    <col min="11794" max="11794" width="19.109375" customWidth="1"/>
    <col min="12033" max="12033" width="15.44140625" customWidth="1"/>
    <col min="12034" max="12034" width="5.33203125" bestFit="1" customWidth="1"/>
    <col min="12035" max="12036" width="39.5546875" bestFit="1" customWidth="1"/>
    <col min="12041" max="12041" width="39.5546875" bestFit="1" customWidth="1"/>
    <col min="12042" max="12042" width="47" bestFit="1" customWidth="1"/>
    <col min="12043" max="12043" width="15.33203125" bestFit="1" customWidth="1"/>
    <col min="12044" max="12044" width="6.5546875" bestFit="1" customWidth="1"/>
    <col min="12045" max="12045" width="6.6640625" bestFit="1" customWidth="1"/>
    <col min="12050" max="12050" width="19.109375" customWidth="1"/>
    <col min="12289" max="12289" width="15.44140625" customWidth="1"/>
    <col min="12290" max="12290" width="5.33203125" bestFit="1" customWidth="1"/>
    <col min="12291" max="12292" width="39.5546875" bestFit="1" customWidth="1"/>
    <col min="12297" max="12297" width="39.5546875" bestFit="1" customWidth="1"/>
    <col min="12298" max="12298" width="47" bestFit="1" customWidth="1"/>
    <col min="12299" max="12299" width="15.33203125" bestFit="1" customWidth="1"/>
    <col min="12300" max="12300" width="6.5546875" bestFit="1" customWidth="1"/>
    <col min="12301" max="12301" width="6.6640625" bestFit="1" customWidth="1"/>
    <col min="12306" max="12306" width="19.109375" customWidth="1"/>
    <col min="12545" max="12545" width="15.44140625" customWidth="1"/>
    <col min="12546" max="12546" width="5.33203125" bestFit="1" customWidth="1"/>
    <col min="12547" max="12548" width="39.5546875" bestFit="1" customWidth="1"/>
    <col min="12553" max="12553" width="39.5546875" bestFit="1" customWidth="1"/>
    <col min="12554" max="12554" width="47" bestFit="1" customWidth="1"/>
    <col min="12555" max="12555" width="15.33203125" bestFit="1" customWidth="1"/>
    <col min="12556" max="12556" width="6.5546875" bestFit="1" customWidth="1"/>
    <col min="12557" max="12557" width="6.6640625" bestFit="1" customWidth="1"/>
    <col min="12562" max="12562" width="19.109375" customWidth="1"/>
    <col min="12801" max="12801" width="15.44140625" customWidth="1"/>
    <col min="12802" max="12802" width="5.33203125" bestFit="1" customWidth="1"/>
    <col min="12803" max="12804" width="39.5546875" bestFit="1" customWidth="1"/>
    <col min="12809" max="12809" width="39.5546875" bestFit="1" customWidth="1"/>
    <col min="12810" max="12810" width="47" bestFit="1" customWidth="1"/>
    <col min="12811" max="12811" width="15.33203125" bestFit="1" customWidth="1"/>
    <col min="12812" max="12812" width="6.5546875" bestFit="1" customWidth="1"/>
    <col min="12813" max="12813" width="6.6640625" bestFit="1" customWidth="1"/>
    <col min="12818" max="12818" width="19.109375" customWidth="1"/>
    <col min="13057" max="13057" width="15.44140625" customWidth="1"/>
    <col min="13058" max="13058" width="5.33203125" bestFit="1" customWidth="1"/>
    <col min="13059" max="13060" width="39.5546875" bestFit="1" customWidth="1"/>
    <col min="13065" max="13065" width="39.5546875" bestFit="1" customWidth="1"/>
    <col min="13066" max="13066" width="47" bestFit="1" customWidth="1"/>
    <col min="13067" max="13067" width="15.33203125" bestFit="1" customWidth="1"/>
    <col min="13068" max="13068" width="6.5546875" bestFit="1" customWidth="1"/>
    <col min="13069" max="13069" width="6.6640625" bestFit="1" customWidth="1"/>
    <col min="13074" max="13074" width="19.109375" customWidth="1"/>
    <col min="13313" max="13313" width="15.44140625" customWidth="1"/>
    <col min="13314" max="13314" width="5.33203125" bestFit="1" customWidth="1"/>
    <col min="13315" max="13316" width="39.5546875" bestFit="1" customWidth="1"/>
    <col min="13321" max="13321" width="39.5546875" bestFit="1" customWidth="1"/>
    <col min="13322" max="13322" width="47" bestFit="1" customWidth="1"/>
    <col min="13323" max="13323" width="15.33203125" bestFit="1" customWidth="1"/>
    <col min="13324" max="13324" width="6.5546875" bestFit="1" customWidth="1"/>
    <col min="13325" max="13325" width="6.6640625" bestFit="1" customWidth="1"/>
    <col min="13330" max="13330" width="19.109375" customWidth="1"/>
    <col min="13569" max="13569" width="15.44140625" customWidth="1"/>
    <col min="13570" max="13570" width="5.33203125" bestFit="1" customWidth="1"/>
    <col min="13571" max="13572" width="39.5546875" bestFit="1" customWidth="1"/>
    <col min="13577" max="13577" width="39.5546875" bestFit="1" customWidth="1"/>
    <col min="13578" max="13578" width="47" bestFit="1" customWidth="1"/>
    <col min="13579" max="13579" width="15.33203125" bestFit="1" customWidth="1"/>
    <col min="13580" max="13580" width="6.5546875" bestFit="1" customWidth="1"/>
    <col min="13581" max="13581" width="6.6640625" bestFit="1" customWidth="1"/>
    <col min="13586" max="13586" width="19.109375" customWidth="1"/>
    <col min="13825" max="13825" width="15.44140625" customWidth="1"/>
    <col min="13826" max="13826" width="5.33203125" bestFit="1" customWidth="1"/>
    <col min="13827" max="13828" width="39.5546875" bestFit="1" customWidth="1"/>
    <col min="13833" max="13833" width="39.5546875" bestFit="1" customWidth="1"/>
    <col min="13834" max="13834" width="47" bestFit="1" customWidth="1"/>
    <col min="13835" max="13835" width="15.33203125" bestFit="1" customWidth="1"/>
    <col min="13836" max="13836" width="6.5546875" bestFit="1" customWidth="1"/>
    <col min="13837" max="13837" width="6.6640625" bestFit="1" customWidth="1"/>
    <col min="13842" max="13842" width="19.109375" customWidth="1"/>
    <col min="14081" max="14081" width="15.44140625" customWidth="1"/>
    <col min="14082" max="14082" width="5.33203125" bestFit="1" customWidth="1"/>
    <col min="14083" max="14084" width="39.5546875" bestFit="1" customWidth="1"/>
    <col min="14089" max="14089" width="39.5546875" bestFit="1" customWidth="1"/>
    <col min="14090" max="14090" width="47" bestFit="1" customWidth="1"/>
    <col min="14091" max="14091" width="15.33203125" bestFit="1" customWidth="1"/>
    <col min="14092" max="14092" width="6.5546875" bestFit="1" customWidth="1"/>
    <col min="14093" max="14093" width="6.6640625" bestFit="1" customWidth="1"/>
    <col min="14098" max="14098" width="19.109375" customWidth="1"/>
    <col min="14337" max="14337" width="15.44140625" customWidth="1"/>
    <col min="14338" max="14338" width="5.33203125" bestFit="1" customWidth="1"/>
    <col min="14339" max="14340" width="39.5546875" bestFit="1" customWidth="1"/>
    <col min="14345" max="14345" width="39.5546875" bestFit="1" customWidth="1"/>
    <col min="14346" max="14346" width="47" bestFit="1" customWidth="1"/>
    <col min="14347" max="14347" width="15.33203125" bestFit="1" customWidth="1"/>
    <col min="14348" max="14348" width="6.5546875" bestFit="1" customWidth="1"/>
    <col min="14349" max="14349" width="6.6640625" bestFit="1" customWidth="1"/>
    <col min="14354" max="14354" width="19.109375" customWidth="1"/>
    <col min="14593" max="14593" width="15.44140625" customWidth="1"/>
    <col min="14594" max="14594" width="5.33203125" bestFit="1" customWidth="1"/>
    <col min="14595" max="14596" width="39.5546875" bestFit="1" customWidth="1"/>
    <col min="14601" max="14601" width="39.5546875" bestFit="1" customWidth="1"/>
    <col min="14602" max="14602" width="47" bestFit="1" customWidth="1"/>
    <col min="14603" max="14603" width="15.33203125" bestFit="1" customWidth="1"/>
    <col min="14604" max="14604" width="6.5546875" bestFit="1" customWidth="1"/>
    <col min="14605" max="14605" width="6.6640625" bestFit="1" customWidth="1"/>
    <col min="14610" max="14610" width="19.109375" customWidth="1"/>
    <col min="14849" max="14849" width="15.44140625" customWidth="1"/>
    <col min="14850" max="14850" width="5.33203125" bestFit="1" customWidth="1"/>
    <col min="14851" max="14852" width="39.5546875" bestFit="1" customWidth="1"/>
    <col min="14857" max="14857" width="39.5546875" bestFit="1" customWidth="1"/>
    <col min="14858" max="14858" width="47" bestFit="1" customWidth="1"/>
    <col min="14859" max="14859" width="15.33203125" bestFit="1" customWidth="1"/>
    <col min="14860" max="14860" width="6.5546875" bestFit="1" customWidth="1"/>
    <col min="14861" max="14861" width="6.6640625" bestFit="1" customWidth="1"/>
    <col min="14866" max="14866" width="19.109375" customWidth="1"/>
    <col min="15105" max="15105" width="15.44140625" customWidth="1"/>
    <col min="15106" max="15106" width="5.33203125" bestFit="1" customWidth="1"/>
    <col min="15107" max="15108" width="39.5546875" bestFit="1" customWidth="1"/>
    <col min="15113" max="15113" width="39.5546875" bestFit="1" customWidth="1"/>
    <col min="15114" max="15114" width="47" bestFit="1" customWidth="1"/>
    <col min="15115" max="15115" width="15.33203125" bestFit="1" customWidth="1"/>
    <col min="15116" max="15116" width="6.5546875" bestFit="1" customWidth="1"/>
    <col min="15117" max="15117" width="6.6640625" bestFit="1" customWidth="1"/>
    <col min="15122" max="15122" width="19.109375" customWidth="1"/>
    <col min="15361" max="15361" width="15.44140625" customWidth="1"/>
    <col min="15362" max="15362" width="5.33203125" bestFit="1" customWidth="1"/>
    <col min="15363" max="15364" width="39.5546875" bestFit="1" customWidth="1"/>
    <col min="15369" max="15369" width="39.5546875" bestFit="1" customWidth="1"/>
    <col min="15370" max="15370" width="47" bestFit="1" customWidth="1"/>
    <col min="15371" max="15371" width="15.33203125" bestFit="1" customWidth="1"/>
    <col min="15372" max="15372" width="6.5546875" bestFit="1" customWidth="1"/>
    <col min="15373" max="15373" width="6.6640625" bestFit="1" customWidth="1"/>
    <col min="15378" max="15378" width="19.109375" customWidth="1"/>
    <col min="15617" max="15617" width="15.44140625" customWidth="1"/>
    <col min="15618" max="15618" width="5.33203125" bestFit="1" customWidth="1"/>
    <col min="15619" max="15620" width="39.5546875" bestFit="1" customWidth="1"/>
    <col min="15625" max="15625" width="39.5546875" bestFit="1" customWidth="1"/>
    <col min="15626" max="15626" width="47" bestFit="1" customWidth="1"/>
    <col min="15627" max="15627" width="15.33203125" bestFit="1" customWidth="1"/>
    <col min="15628" max="15628" width="6.5546875" bestFit="1" customWidth="1"/>
    <col min="15629" max="15629" width="6.6640625" bestFit="1" customWidth="1"/>
    <col min="15634" max="15634" width="19.109375" customWidth="1"/>
    <col min="15873" max="15873" width="15.44140625" customWidth="1"/>
    <col min="15874" max="15874" width="5.33203125" bestFit="1" customWidth="1"/>
    <col min="15875" max="15876" width="39.5546875" bestFit="1" customWidth="1"/>
    <col min="15881" max="15881" width="39.5546875" bestFit="1" customWidth="1"/>
    <col min="15882" max="15882" width="47" bestFit="1" customWidth="1"/>
    <col min="15883" max="15883" width="15.33203125" bestFit="1" customWidth="1"/>
    <col min="15884" max="15884" width="6.5546875" bestFit="1" customWidth="1"/>
    <col min="15885" max="15885" width="6.6640625" bestFit="1" customWidth="1"/>
    <col min="15890" max="15890" width="19.109375" customWidth="1"/>
    <col min="16129" max="16129" width="15.44140625" customWidth="1"/>
    <col min="16130" max="16130" width="5.33203125" bestFit="1" customWidth="1"/>
    <col min="16131" max="16132" width="39.5546875" bestFit="1" customWidth="1"/>
    <col min="16137" max="16137" width="39.5546875" bestFit="1" customWidth="1"/>
    <col min="16138" max="16138" width="47" bestFit="1" customWidth="1"/>
    <col min="16139" max="16139" width="15.33203125" bestFit="1" customWidth="1"/>
    <col min="16140" max="16140" width="6.5546875" bestFit="1" customWidth="1"/>
    <col min="16141" max="16141" width="6.6640625" bestFit="1" customWidth="1"/>
    <col min="16146" max="16146" width="19.109375" customWidth="1"/>
  </cols>
  <sheetData>
    <row r="1" spans="1:18" x14ac:dyDescent="0.3">
      <c r="A1" s="57" t="s">
        <v>70</v>
      </c>
      <c r="B1" s="57"/>
      <c r="C1" s="57"/>
      <c r="D1" s="58"/>
      <c r="E1" s="58"/>
      <c r="F1" s="58"/>
      <c r="G1" s="43" t="s">
        <v>63</v>
      </c>
      <c r="H1" s="30">
        <v>0.375</v>
      </c>
      <c r="I1"/>
      <c r="J1" t="s">
        <v>68</v>
      </c>
      <c r="K1" s="32">
        <v>3.4722222222222224E-2</v>
      </c>
    </row>
    <row r="2" spans="1:18" x14ac:dyDescent="0.3">
      <c r="A2" s="57"/>
      <c r="B2" s="57"/>
      <c r="C2" s="57"/>
      <c r="D2" s="58"/>
      <c r="E2" s="58"/>
      <c r="F2" s="58"/>
      <c r="G2" s="31" t="s">
        <v>43</v>
      </c>
      <c r="H2" s="4">
        <v>2</v>
      </c>
      <c r="I2"/>
      <c r="J2"/>
    </row>
    <row r="3" spans="1:18" x14ac:dyDescent="0.3">
      <c r="A3" s="57"/>
      <c r="B3" s="57"/>
      <c r="C3" s="57"/>
      <c r="D3" s="58"/>
      <c r="E3" s="58"/>
      <c r="F3" s="58"/>
      <c r="G3" s="31" t="s">
        <v>44</v>
      </c>
      <c r="H3" s="34">
        <v>6</v>
      </c>
      <c r="I3"/>
      <c r="J3"/>
    </row>
    <row r="4" spans="1:18" x14ac:dyDescent="0.3">
      <c r="A4" s="57"/>
      <c r="B4" s="57"/>
      <c r="C4" s="57"/>
      <c r="D4" s="58"/>
      <c r="E4" s="58"/>
      <c r="F4" s="58"/>
      <c r="H4" s="34">
        <v>7</v>
      </c>
      <c r="I4"/>
      <c r="J4"/>
    </row>
    <row r="5" spans="1:18" x14ac:dyDescent="0.3">
      <c r="A5" s="57"/>
      <c r="B5" s="57"/>
      <c r="C5" s="57"/>
      <c r="D5" s="58"/>
      <c r="E5" s="58"/>
      <c r="F5" s="58"/>
    </row>
    <row r="6" spans="1:18" x14ac:dyDescent="0.3">
      <c r="A6" s="57"/>
      <c r="B6" s="57"/>
      <c r="C6" s="57"/>
      <c r="D6" s="58"/>
      <c r="E6" s="58"/>
      <c r="F6" s="58"/>
    </row>
    <row r="7" spans="1:18" ht="16.5" customHeight="1" x14ac:dyDescent="1.1000000000000001">
      <c r="A7" s="2"/>
      <c r="B7" s="2"/>
      <c r="C7" s="2"/>
      <c r="D7" s="3"/>
      <c r="E7" s="3"/>
      <c r="F7" s="3"/>
    </row>
    <row r="8" spans="1:18" ht="21.75" customHeight="1" x14ac:dyDescent="0.3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H8" s="8" t="s">
        <v>7</v>
      </c>
      <c r="I8" s="17" t="s">
        <v>8</v>
      </c>
      <c r="J8" s="17"/>
      <c r="K8" s="4" t="s">
        <v>9</v>
      </c>
      <c r="L8" s="4" t="s">
        <v>10</v>
      </c>
      <c r="M8" s="4" t="s">
        <v>11</v>
      </c>
      <c r="N8" s="10" t="s">
        <v>12</v>
      </c>
      <c r="O8" s="10" t="s">
        <v>13</v>
      </c>
      <c r="Q8" s="4" t="s">
        <v>14</v>
      </c>
      <c r="R8" s="4" t="s">
        <v>8</v>
      </c>
    </row>
    <row r="9" spans="1:18" ht="21.75" customHeight="1" x14ac:dyDescent="0.35">
      <c r="A9" s="11">
        <f>H1</f>
        <v>0.375</v>
      </c>
      <c r="B9" s="4">
        <f>H3</f>
        <v>6</v>
      </c>
      <c r="C9" s="10" t="str">
        <f>I11</f>
        <v>CLUB VOLEI PLATJA MONTGAT</v>
      </c>
      <c r="D9" s="10" t="str">
        <f>I12</f>
        <v>CV ESPLUGUES MAVD</v>
      </c>
      <c r="E9" s="12"/>
      <c r="F9" s="12"/>
      <c r="H9" s="8">
        <f>RANK(O9,O$9:O$13,0)</f>
        <v>1</v>
      </c>
      <c r="I9" s="10" t="s">
        <v>85</v>
      </c>
      <c r="J9" s="10" t="s">
        <v>75</v>
      </c>
      <c r="K9" s="4">
        <f>(IF(E10&gt;F10,1,IF(E10&lt;F10,0,))+(IF(E12&gt;F12,1,IF(E12&lt;F12,0,))+(IF(E14&gt;F14,1,IF(E14&lt;F14,0,))+(IF(E17&gt;F17,1,IF(E17&lt;F17,0,))))))</f>
        <v>0</v>
      </c>
      <c r="L9" s="4">
        <f>E10+E12+E14+E17</f>
        <v>0</v>
      </c>
      <c r="M9" s="4">
        <f>F10+F12+F14+F17</f>
        <v>0</v>
      </c>
      <c r="N9" s="13" t="str">
        <f>IFERROR(L9/M9,"Max")</f>
        <v>Max</v>
      </c>
      <c r="O9" s="13">
        <f>IF(N9="Max",500,(K9*100)+N9)</f>
        <v>500</v>
      </c>
      <c r="Q9" s="14">
        <v>1</v>
      </c>
      <c r="R9" s="8" t="str">
        <f>IF($K9+$K10+$K11+$K12+K13=10,INDEX(I9:I13,MATCH($Q9,H9:H13,0)),"Pdte")</f>
        <v>Pdte</v>
      </c>
    </row>
    <row r="10" spans="1:18" ht="21.75" customHeight="1" x14ac:dyDescent="0.35">
      <c r="A10" s="11">
        <f>A9+$K$1</f>
        <v>0.40972222222222221</v>
      </c>
      <c r="B10" s="4">
        <f>H3</f>
        <v>6</v>
      </c>
      <c r="C10" s="10" t="str">
        <f>I9</f>
        <v xml:space="preserve">beach club esportiu el pendulo </v>
      </c>
      <c r="D10" s="10" t="str">
        <f>I13</f>
        <v>AE VOLEI MANRESA</v>
      </c>
      <c r="E10" s="12"/>
      <c r="F10" s="12"/>
      <c r="H10" s="8">
        <f>RANK(O10,O$9:O$13,0)</f>
        <v>1</v>
      </c>
      <c r="I10" s="10" t="s">
        <v>86</v>
      </c>
      <c r="J10" s="10" t="s">
        <v>77</v>
      </c>
      <c r="K10" s="4">
        <f>(IF(E11&gt;F11,1,IF(E11&lt;F11,0,))+(IF(E13&gt;F13,1,IF(E13&lt;F13,0,))+(IF(E15&gt;F15,1,IF(E15&lt;F15,0,))+IF(F17&gt;E17,1,IF(F17&lt;E17,0,)))))</f>
        <v>0</v>
      </c>
      <c r="L10" s="4">
        <f>E11+E13+E15+F17</f>
        <v>0</v>
      </c>
      <c r="M10" s="4">
        <f>F11+F13+F15+E17</f>
        <v>0</v>
      </c>
      <c r="N10" s="13" t="str">
        <f>IFERROR(L10/M10,"Max")</f>
        <v>Max</v>
      </c>
      <c r="O10" s="13">
        <f>IF(N10="Max",500,(K10*100)+N10)</f>
        <v>500</v>
      </c>
      <c r="Q10" s="14">
        <v>2</v>
      </c>
      <c r="R10" s="8" t="str">
        <f>IF($K10+$K11+$K12+$K13+K9=10,INDEX(I9:I13,MATCH($Q10,H9:H13,0)),"Pdte")</f>
        <v>Pdte</v>
      </c>
    </row>
    <row r="11" spans="1:18" ht="21.75" customHeight="1" x14ac:dyDescent="0.35">
      <c r="A11" s="11">
        <f>A10+$K$1</f>
        <v>0.44444444444444442</v>
      </c>
      <c r="B11" s="4">
        <f>H3</f>
        <v>6</v>
      </c>
      <c r="C11" s="10" t="str">
        <f>I10</f>
        <v>CV ESPLUGUES CABF</v>
      </c>
      <c r="D11" s="10" t="str">
        <f>I12</f>
        <v>CV ESPLUGUES MAVD</v>
      </c>
      <c r="E11" s="12"/>
      <c r="F11" s="12"/>
      <c r="H11" s="8">
        <f>RANK(O11,O$9:O$13,0)</f>
        <v>1</v>
      </c>
      <c r="I11" s="10" t="s">
        <v>74</v>
      </c>
      <c r="J11" s="10" t="s">
        <v>79</v>
      </c>
      <c r="K11" s="4">
        <f>(IF(E9&gt;F9,1,IF(E9&lt;F9,0,))+(IF(F12&gt;E12,1,IF(F12&lt;E12,0,))+(IF(F15&gt;E15,1,IF(F15&lt;E15,0,))+(IF(E18&gt;F18,1,IF(E18&lt;F18,0,))))))</f>
        <v>0</v>
      </c>
      <c r="L11" s="4">
        <f>F12+F15+E9+E18</f>
        <v>0</v>
      </c>
      <c r="M11" s="4">
        <f>E12+E15+F9+F18</f>
        <v>0</v>
      </c>
      <c r="N11" s="13" t="str">
        <f>IFERROR(L11/M11,"Max")</f>
        <v>Max</v>
      </c>
      <c r="O11" s="13">
        <f>IF(N11="Max",500,(K11*100)+N11)</f>
        <v>500</v>
      </c>
      <c r="Q11" s="14">
        <v>3</v>
      </c>
      <c r="R11" s="8" t="str">
        <f>IF($K11+$K12+$K13+$K10+K9=10,INDEX(I9:I13,MATCH($Q11,H9:H13,0)),"Pdte")</f>
        <v>Pdte</v>
      </c>
    </row>
    <row r="12" spans="1:18" ht="21.75" customHeight="1" x14ac:dyDescent="0.35">
      <c r="A12" s="11">
        <f t="shared" ref="A12:A18" si="0">A11+$K$1</f>
        <v>0.47916666666666663</v>
      </c>
      <c r="B12" s="4">
        <f>H3</f>
        <v>6</v>
      </c>
      <c r="C12" s="10" t="str">
        <f>I9</f>
        <v xml:space="preserve">beach club esportiu el pendulo </v>
      </c>
      <c r="D12" s="10" t="str">
        <f>I11</f>
        <v>CLUB VOLEI PLATJA MONTGAT</v>
      </c>
      <c r="E12" s="12"/>
      <c r="F12" s="12"/>
      <c r="H12" s="8">
        <f>RANK(O12,O$9:O$13,0)</f>
        <v>1</v>
      </c>
      <c r="I12" s="10" t="s">
        <v>87</v>
      </c>
      <c r="J12" s="10" t="s">
        <v>81</v>
      </c>
      <c r="K12" s="4">
        <f>(IF(F9&gt;E9,1,IF(F9&lt;E9,0,))+(IF(F11&gt;E11,1,IF(F11&lt;E11,0,))+(IF(F14&gt;E14,1,IF(F14&lt;E14,0,))+(IF(E16&gt;F16,1,IF(E16&lt;F16,0,))))))</f>
        <v>0</v>
      </c>
      <c r="L12" s="4">
        <f>F11+F14+F9+E16</f>
        <v>0</v>
      </c>
      <c r="M12" s="4">
        <f>E11+E14+E9+F16</f>
        <v>0</v>
      </c>
      <c r="N12" s="13" t="str">
        <f>IFERROR(L12/M12,"Max")</f>
        <v>Max</v>
      </c>
      <c r="O12" s="13">
        <f>IF(N12="Max",500,(K12*100)+N12)</f>
        <v>500</v>
      </c>
      <c r="Q12" s="14">
        <v>4</v>
      </c>
      <c r="R12" s="8" t="str">
        <f>IF($K12+$K13+$K11+$K10+K9=10,INDEX(I9:I13,MATCH($Q12,H9:H13,0)),"Pdte")</f>
        <v>Pdte</v>
      </c>
    </row>
    <row r="13" spans="1:18" ht="21.75" customHeight="1" x14ac:dyDescent="0.35">
      <c r="A13" s="11">
        <f t="shared" si="0"/>
        <v>0.51388888888888884</v>
      </c>
      <c r="B13" s="4">
        <f>H3</f>
        <v>6</v>
      </c>
      <c r="C13" s="10" t="str">
        <f>I10</f>
        <v>CV ESPLUGUES CABF</v>
      </c>
      <c r="D13" s="10" t="str">
        <f>I13</f>
        <v>AE VOLEI MANRESA</v>
      </c>
      <c r="E13" s="12"/>
      <c r="F13" s="12"/>
      <c r="H13" s="8">
        <f>RANK(O13,O$9:O$13,0)</f>
        <v>1</v>
      </c>
      <c r="I13" s="10" t="s">
        <v>88</v>
      </c>
      <c r="J13" s="10" t="s">
        <v>83</v>
      </c>
      <c r="K13" s="4">
        <f>(IF(F10&gt;E10,1,IF(F10&lt;E10,0,))+(IF(F13&gt;E13,1,IF(F13&lt;E13,0,))+(IF(F16&gt;E16,1,IF(F16&lt;E16,0,))+(IF(F18&gt;E18,1,IF(F18&lt;E18,0,))))))</f>
        <v>0</v>
      </c>
      <c r="L13" s="4">
        <f>F10+F13+F16+F18</f>
        <v>0</v>
      </c>
      <c r="M13" s="4">
        <f>E10+E13+E16+E18</f>
        <v>0</v>
      </c>
      <c r="N13" s="13" t="str">
        <f>IFERROR(L13/M13,"Max")</f>
        <v>Max</v>
      </c>
      <c r="O13" s="13">
        <f>IF(N13="Max",500,(K13*100)+N13)</f>
        <v>500</v>
      </c>
      <c r="Q13" s="14">
        <v>5</v>
      </c>
      <c r="R13" s="8" t="str">
        <f>IF($K13+$K12+$K11+$K10+K9=10,INDEX(I9:I13,MATCH($Q13,H9:H13,0)),"Pdte")</f>
        <v>Pdte</v>
      </c>
    </row>
    <row r="14" spans="1:18" ht="21.75" customHeight="1" x14ac:dyDescent="0.3">
      <c r="A14" s="11">
        <f t="shared" si="0"/>
        <v>0.54861111111111105</v>
      </c>
      <c r="B14" s="4">
        <f>H3</f>
        <v>6</v>
      </c>
      <c r="C14" s="10" t="str">
        <f>I9</f>
        <v xml:space="preserve">beach club esportiu el pendulo </v>
      </c>
      <c r="D14" s="10" t="str">
        <f>I12</f>
        <v>CV ESPLUGUES MAVD</v>
      </c>
      <c r="E14" s="12"/>
      <c r="F14" s="12"/>
    </row>
    <row r="15" spans="1:18" ht="21.75" customHeight="1" x14ac:dyDescent="0.3">
      <c r="A15" s="11">
        <f>A14+2.2*$K$1</f>
        <v>0.625</v>
      </c>
      <c r="B15" s="4">
        <f>H3</f>
        <v>6</v>
      </c>
      <c r="C15" s="10" t="str">
        <f>I10</f>
        <v>CV ESPLUGUES CABF</v>
      </c>
      <c r="D15" s="10" t="str">
        <f>I11</f>
        <v>CLUB VOLEI PLATJA MONTGAT</v>
      </c>
      <c r="E15" s="12"/>
      <c r="F15" s="12"/>
    </row>
    <row r="16" spans="1:18" ht="21.75" customHeight="1" x14ac:dyDescent="0.3">
      <c r="A16" s="11">
        <f t="shared" si="0"/>
        <v>0.65972222222222221</v>
      </c>
      <c r="B16" s="4">
        <f>H3</f>
        <v>6</v>
      </c>
      <c r="C16" s="10" t="str">
        <f>I12</f>
        <v>CV ESPLUGUES MAVD</v>
      </c>
      <c r="D16" s="10" t="str">
        <f>I13</f>
        <v>AE VOLEI MANRESA</v>
      </c>
      <c r="E16" s="12"/>
      <c r="F16" s="12"/>
      <c r="H16" s="35"/>
      <c r="L16" s="35"/>
    </row>
    <row r="17" spans="1:19" ht="21.75" customHeight="1" x14ac:dyDescent="0.3">
      <c r="A17" s="11">
        <f t="shared" si="0"/>
        <v>0.69444444444444442</v>
      </c>
      <c r="B17" s="4">
        <f>H3</f>
        <v>6</v>
      </c>
      <c r="C17" s="10" t="str">
        <f>I9</f>
        <v xml:space="preserve">beach club esportiu el pendulo </v>
      </c>
      <c r="D17" s="10" t="str">
        <f>I10</f>
        <v>CV ESPLUGUES CABF</v>
      </c>
      <c r="E17" s="12"/>
      <c r="F17" s="12"/>
    </row>
    <row r="18" spans="1:19" ht="21.75" customHeight="1" x14ac:dyDescent="0.3">
      <c r="A18" s="11">
        <f t="shared" si="0"/>
        <v>0.72916666666666663</v>
      </c>
      <c r="B18" s="4">
        <f>H3</f>
        <v>6</v>
      </c>
      <c r="C18" s="10" t="str">
        <f>I11</f>
        <v>CLUB VOLEI PLATJA MONTGAT</v>
      </c>
      <c r="D18" s="10" t="str">
        <f>I13</f>
        <v>AE VOLEI MANRESA</v>
      </c>
      <c r="E18" s="12"/>
      <c r="F18" s="12"/>
    </row>
    <row r="19" spans="1:19" ht="21.75" customHeight="1" x14ac:dyDescent="0.3"/>
    <row r="20" spans="1:19" ht="21.75" customHeight="1" x14ac:dyDescent="0.3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  <c r="F20" s="4" t="s">
        <v>6</v>
      </c>
      <c r="H20" s="8" t="s">
        <v>7</v>
      </c>
      <c r="I20" s="17" t="s">
        <v>15</v>
      </c>
      <c r="J20" s="17"/>
      <c r="K20" s="4" t="s">
        <v>9</v>
      </c>
      <c r="L20" s="4" t="s">
        <v>10</v>
      </c>
      <c r="M20" s="4" t="s">
        <v>11</v>
      </c>
      <c r="N20" s="10" t="s">
        <v>12</v>
      </c>
      <c r="O20" s="10" t="s">
        <v>13</v>
      </c>
      <c r="Q20" s="4" t="s">
        <v>14</v>
      </c>
      <c r="R20" s="4" t="s">
        <v>15</v>
      </c>
    </row>
    <row r="21" spans="1:19" ht="21.75" customHeight="1" x14ac:dyDescent="0.35">
      <c r="A21" s="11">
        <f>H1</f>
        <v>0.375</v>
      </c>
      <c r="B21" s="4">
        <f>H4</f>
        <v>7</v>
      </c>
      <c r="C21" s="10" t="str">
        <f>I23</f>
        <v>CV PREMIÀ DE DALT</v>
      </c>
      <c r="D21" s="10" t="str">
        <f>I24</f>
        <v>CV ESPLUGUES ZRVS</v>
      </c>
      <c r="E21" s="12"/>
      <c r="F21" s="12"/>
      <c r="H21" s="8">
        <f>RANK(O21,O$21:O$25,0)</f>
        <v>1</v>
      </c>
      <c r="I21" s="10" t="s">
        <v>73</v>
      </c>
      <c r="J21" s="10" t="s">
        <v>76</v>
      </c>
      <c r="K21" s="4">
        <f>(IF(E22&gt;F22,1,IF(E22&lt;F22,0,))+(IF(E24&gt;F24,1,IF(E24&lt;F24,0,))+(IF(E26&gt;F26,1,IF(E26&lt;F26,0,))+(IF(E29&gt;F29,1,IF(E29&lt;F29,0,))))))</f>
        <v>0</v>
      </c>
      <c r="L21" s="4">
        <f>E22+E24+E26+E29</f>
        <v>0</v>
      </c>
      <c r="M21" s="4">
        <f>F22+F24+F26+F29</f>
        <v>0</v>
      </c>
      <c r="N21" s="13" t="str">
        <f>IFERROR(L21/M21,"Max")</f>
        <v>Max</v>
      </c>
      <c r="O21" s="13">
        <f>IF(N21="Max",500,(K21*100)+N21)</f>
        <v>500</v>
      </c>
      <c r="Q21" s="14">
        <v>1</v>
      </c>
      <c r="R21" s="8" t="str">
        <f>IF($K21+$K22+$K23+$K24+K25=10,INDEX(I21:I25,MATCH($Q21,H21:H25,0)),"Pdte")</f>
        <v>Pdte</v>
      </c>
    </row>
    <row r="22" spans="1:19" ht="21.75" customHeight="1" x14ac:dyDescent="0.35">
      <c r="A22" s="11">
        <f>A21+$K$1</f>
        <v>0.40972222222222221</v>
      </c>
      <c r="B22" s="4">
        <f>H4</f>
        <v>7</v>
      </c>
      <c r="C22" s="10" t="str">
        <f>I21</f>
        <v>ASS.DE VOLEIBOL DE L'AMETLLA DEL VALLES</v>
      </c>
      <c r="D22" s="10" t="str">
        <f>I25</f>
        <v xml:space="preserve">CV BARCELONA-BARÇA </v>
      </c>
      <c r="E22" s="12"/>
      <c r="F22" s="12"/>
      <c r="H22" s="8">
        <f>RANK(O22,O$21:O$25,0)</f>
        <v>1</v>
      </c>
      <c r="I22" s="10" t="s">
        <v>89</v>
      </c>
      <c r="J22" s="10" t="s">
        <v>78</v>
      </c>
      <c r="K22" s="4">
        <f>(IF(E23&gt;F23,1,IF(E23&lt;F23,0,))+(IF(E25&gt;F25,1,IF(E25&lt;F25,0,))+(IF(E27&gt;F27,1,IF(E27&lt;F27,0,))+IF(F29&gt;E29,1,IF(F29&lt;E29,0,)))))</f>
        <v>0</v>
      </c>
      <c r="L22" s="4">
        <f>E23+E25+E27+F29</f>
        <v>0</v>
      </c>
      <c r="M22" s="4">
        <f>F23+F25+F27+E29</f>
        <v>0</v>
      </c>
      <c r="N22" s="13" t="str">
        <f>IFERROR(L22/M22,"Max")</f>
        <v>Max</v>
      </c>
      <c r="O22" s="13">
        <f>IF(N22="Max",500,(K22*100)+N22)</f>
        <v>500</v>
      </c>
      <c r="Q22" s="14">
        <v>2</v>
      </c>
      <c r="R22" s="8" t="str">
        <f>IF($K22+$K23+$K24+$K25+K21=10,INDEX(I21:I25,MATCH($Q22,H21:H25,0)),"Pdte")</f>
        <v>Pdte</v>
      </c>
    </row>
    <row r="23" spans="1:19" ht="21.75" customHeight="1" x14ac:dyDescent="0.35">
      <c r="A23" s="11">
        <f>A22+$K$1</f>
        <v>0.44444444444444442</v>
      </c>
      <c r="B23" s="4">
        <f>H4</f>
        <v>7</v>
      </c>
      <c r="C23" s="10" t="str">
        <f>I22</f>
        <v>CV ESPLUGUES VMTEG</v>
      </c>
      <c r="D23" s="10" t="str">
        <f>I24</f>
        <v>CV ESPLUGUES ZRVS</v>
      </c>
      <c r="E23" s="12"/>
      <c r="F23" s="12"/>
      <c r="H23" s="8">
        <f>RANK(O23,O$21:O$25,0)</f>
        <v>1</v>
      </c>
      <c r="I23" s="10" t="s">
        <v>72</v>
      </c>
      <c r="J23" s="10" t="s">
        <v>82</v>
      </c>
      <c r="K23" s="4">
        <f>(IF(E21&gt;F21,1,IF(E21&lt;F21,0,))+(IF(F24&gt;E24,1,IF(F24&lt;E24,0,))+(IF(F27&gt;E27,1,IF(F27&lt;E27,0,))+(IF(E30&gt;F30,1,IF(E30&lt;F30,0,))))))</f>
        <v>0</v>
      </c>
      <c r="L23" s="4">
        <f>F24+F27+E21+E30</f>
        <v>0</v>
      </c>
      <c r="M23" s="4">
        <f>E24+E27+F21+F30</f>
        <v>0</v>
      </c>
      <c r="N23" s="13" t="str">
        <f>IFERROR(L23/M23,"Max")</f>
        <v>Max</v>
      </c>
      <c r="O23" s="13">
        <f>IF(N23="Max",500,(K23*100)+N23)</f>
        <v>500</v>
      </c>
      <c r="Q23" s="14">
        <v>3</v>
      </c>
      <c r="R23" s="8" t="str">
        <f>IF($K23+$K24+$K25+$K22+K21=10,INDEX(I21:I25,MATCH($Q23,H21:H25,0)),"Pdte")</f>
        <v>Pdte</v>
      </c>
    </row>
    <row r="24" spans="1:19" ht="21.75" customHeight="1" x14ac:dyDescent="0.35">
      <c r="A24" s="11">
        <f t="shared" ref="A24:A30" si="1">A23+$K$1</f>
        <v>0.47916666666666663</v>
      </c>
      <c r="B24" s="4">
        <f>H4</f>
        <v>7</v>
      </c>
      <c r="C24" s="10" t="str">
        <f>I21</f>
        <v>ASS.DE VOLEIBOL DE L'AMETLLA DEL VALLES</v>
      </c>
      <c r="D24" s="10" t="str">
        <f>I23</f>
        <v>CV PREMIÀ DE DALT</v>
      </c>
      <c r="E24" s="12"/>
      <c r="F24" s="12"/>
      <c r="H24" s="8">
        <f>RANK(O24,O$21:O$25,0)</f>
        <v>1</v>
      </c>
      <c r="I24" s="10" t="s">
        <v>90</v>
      </c>
      <c r="J24" s="10" t="s">
        <v>80</v>
      </c>
      <c r="K24" s="4">
        <f>(IF(F21&gt;E21,1,IF(F21&lt;E21,0,))+(IF(F23&gt;E23,1,IF(F23&lt;E23,0,))+(IF(F26&gt;E26,1,IF(F26&lt;E26,0,))+(IF(E28&gt;F28,1,IF(E28&lt;F28,0,))))))</f>
        <v>0</v>
      </c>
      <c r="L24" s="4">
        <f>F23+F26+F21+E28</f>
        <v>0</v>
      </c>
      <c r="M24" s="4">
        <f>E23+E26+E21+F28</f>
        <v>0</v>
      </c>
      <c r="N24" s="13" t="str">
        <f>IFERROR(L24/M24,"Max")</f>
        <v>Max</v>
      </c>
      <c r="O24" s="13">
        <f>IF(N24="Max",500,(K24*100)+N24)</f>
        <v>500</v>
      </c>
      <c r="Q24" s="14">
        <v>4</v>
      </c>
      <c r="R24" s="8" t="str">
        <f>IF($K24+$K25+$K23+$K22+K21=10,INDEX(I21:I25,MATCH($Q24,H21:H25,0)),"Pdte")</f>
        <v>Pdte</v>
      </c>
    </row>
    <row r="25" spans="1:19" ht="21.75" customHeight="1" x14ac:dyDescent="0.35">
      <c r="A25" s="11">
        <f t="shared" si="1"/>
        <v>0.51388888888888884</v>
      </c>
      <c r="B25" s="4">
        <f>H4</f>
        <v>7</v>
      </c>
      <c r="C25" s="10" t="str">
        <f>I22</f>
        <v>CV ESPLUGUES VMTEG</v>
      </c>
      <c r="D25" s="10" t="str">
        <f>I25</f>
        <v xml:space="preserve">CV BARCELONA-BARÇA </v>
      </c>
      <c r="E25" s="12"/>
      <c r="F25" s="12"/>
      <c r="H25" s="8">
        <f>RANK(O25,O$21:O$25,0)</f>
        <v>1</v>
      </c>
      <c r="I25" s="10" t="s">
        <v>91</v>
      </c>
      <c r="J25" s="10" t="s">
        <v>84</v>
      </c>
      <c r="K25" s="4">
        <f>(IF(F22&gt;E22,1,IF(F22&lt;E22,0,))+(IF(F25&gt;E25,1,IF(F25&lt;E25,0,))+(IF(F28&gt;E28,1,IF(F28&lt;E28,0,))+(IF(F30&gt;E30,1,IF(F30&lt;E30,0,))))))</f>
        <v>0</v>
      </c>
      <c r="L25" s="4">
        <f>F22+F25+F28+F30</f>
        <v>0</v>
      </c>
      <c r="M25" s="4">
        <f>E22+E25+E28+E30</f>
        <v>0</v>
      </c>
      <c r="N25" s="13" t="str">
        <f>IFERROR(L25/M25,"Max")</f>
        <v>Max</v>
      </c>
      <c r="O25" s="13">
        <f>IF(N25="Max",500,(K25*100)+N25)</f>
        <v>500</v>
      </c>
      <c r="Q25" s="14">
        <v>5</v>
      </c>
      <c r="R25" s="8" t="str">
        <f>IF($K25+$K24+$K23+$K22+K21=10,INDEX(I21:I25,MATCH($Q25,H21:H25,0)),"Pdte")</f>
        <v>Pdte</v>
      </c>
    </row>
    <row r="26" spans="1:19" ht="21.75" customHeight="1" x14ac:dyDescent="0.3">
      <c r="A26" s="11">
        <f t="shared" si="1"/>
        <v>0.54861111111111105</v>
      </c>
      <c r="B26" s="4">
        <f>H4</f>
        <v>7</v>
      </c>
      <c r="C26" s="10" t="str">
        <f>I21</f>
        <v>ASS.DE VOLEIBOL DE L'AMETLLA DEL VALLES</v>
      </c>
      <c r="D26" s="10" t="str">
        <f>I24</f>
        <v>CV ESPLUGUES ZRVS</v>
      </c>
      <c r="E26" s="12"/>
      <c r="F26" s="12"/>
    </row>
    <row r="27" spans="1:19" ht="21.75" customHeight="1" x14ac:dyDescent="0.3">
      <c r="A27" s="11">
        <f>A26+2.2*$K$1</f>
        <v>0.625</v>
      </c>
      <c r="B27" s="4">
        <f>H4</f>
        <v>7</v>
      </c>
      <c r="C27" s="10" t="str">
        <f>I22</f>
        <v>CV ESPLUGUES VMTEG</v>
      </c>
      <c r="D27" s="10" t="str">
        <f>I23</f>
        <v>CV PREMIÀ DE DALT</v>
      </c>
      <c r="E27" s="12"/>
      <c r="F27" s="12"/>
    </row>
    <row r="28" spans="1:19" ht="21.75" customHeight="1" x14ac:dyDescent="0.3">
      <c r="A28" s="11">
        <f t="shared" si="1"/>
        <v>0.65972222222222221</v>
      </c>
      <c r="B28" s="4">
        <f>H4</f>
        <v>7</v>
      </c>
      <c r="C28" s="10" t="str">
        <f>I24</f>
        <v>CV ESPLUGUES ZRVS</v>
      </c>
      <c r="D28" s="10" t="str">
        <f>I25</f>
        <v xml:space="preserve">CV BARCELONA-BARÇA </v>
      </c>
      <c r="E28" s="12"/>
      <c r="F28" s="12"/>
    </row>
    <row r="29" spans="1:19" ht="21.75" customHeight="1" x14ac:dyDescent="0.3">
      <c r="A29" s="11">
        <f t="shared" si="1"/>
        <v>0.69444444444444442</v>
      </c>
      <c r="B29" s="4">
        <f>H4</f>
        <v>7</v>
      </c>
      <c r="C29" s="10" t="str">
        <f>I21</f>
        <v>ASS.DE VOLEIBOL DE L'AMETLLA DEL VALLES</v>
      </c>
      <c r="D29" s="10" t="str">
        <f>I22</f>
        <v>CV ESPLUGUES VMTEG</v>
      </c>
      <c r="E29" s="12"/>
      <c r="F29" s="12"/>
    </row>
    <row r="30" spans="1:19" ht="21.75" customHeight="1" x14ac:dyDescent="0.3">
      <c r="A30" s="11">
        <f t="shared" si="1"/>
        <v>0.72916666666666663</v>
      </c>
      <c r="B30" s="4">
        <f>H4</f>
        <v>7</v>
      </c>
      <c r="C30" s="10" t="str">
        <f>I23</f>
        <v>CV PREMIÀ DE DALT</v>
      </c>
      <c r="D30" s="10" t="str">
        <f>I25</f>
        <v xml:space="preserve">CV BARCELONA-BARÇA </v>
      </c>
      <c r="E30" s="12"/>
      <c r="F30" s="12"/>
      <c r="H30" s="35"/>
      <c r="L30" s="35"/>
    </row>
    <row r="31" spans="1:19" ht="21.75" customHeight="1" x14ac:dyDescent="0.4">
      <c r="I31" s="48"/>
      <c r="J31" s="49"/>
      <c r="K31" s="50"/>
      <c r="L31" s="50"/>
      <c r="M31" s="48"/>
      <c r="N31" s="49"/>
      <c r="O31" s="46"/>
      <c r="P31" s="49"/>
      <c r="Q31" s="49"/>
      <c r="R31" s="48"/>
      <c r="S31" s="46"/>
    </row>
    <row r="32" spans="1:19" ht="21.75" customHeight="1" x14ac:dyDescent="0.4">
      <c r="A32" s="10" t="s">
        <v>19</v>
      </c>
      <c r="B32" s="17"/>
      <c r="C32" s="7"/>
      <c r="D32" s="7"/>
      <c r="F32" s="7"/>
      <c r="I32" s="48"/>
      <c r="J32" s="49"/>
      <c r="K32" s="50"/>
      <c r="L32" s="50"/>
      <c r="M32" s="48"/>
      <c r="N32" s="49"/>
      <c r="O32" s="46"/>
      <c r="P32" s="49"/>
      <c r="Q32" s="49"/>
      <c r="R32" s="49"/>
      <c r="S32" s="46"/>
    </row>
    <row r="33" spans="1:19" ht="21.75" customHeight="1" x14ac:dyDescent="0.4">
      <c r="A33" s="4" t="s">
        <v>1</v>
      </c>
      <c r="B33" s="4" t="s">
        <v>2</v>
      </c>
      <c r="C33" s="10" t="s">
        <v>3</v>
      </c>
      <c r="D33" s="10" t="s">
        <v>4</v>
      </c>
      <c r="E33" s="10" t="s">
        <v>6</v>
      </c>
      <c r="F33" s="10" t="s">
        <v>6</v>
      </c>
      <c r="I33" s="48"/>
      <c r="J33" s="49"/>
      <c r="K33" s="50"/>
      <c r="L33" s="50"/>
      <c r="M33" s="48"/>
      <c r="N33" s="49"/>
      <c r="O33" s="46"/>
      <c r="P33" s="49"/>
      <c r="Q33" s="49"/>
      <c r="R33" s="48"/>
      <c r="S33" s="46"/>
    </row>
    <row r="34" spans="1:19" ht="21.75" customHeight="1" x14ac:dyDescent="0.4">
      <c r="A34" s="17"/>
      <c r="B34" s="17"/>
      <c r="C34" s="7"/>
      <c r="D34" s="7"/>
      <c r="F34" s="7"/>
      <c r="I34" s="48"/>
      <c r="J34" s="49"/>
      <c r="K34" s="50"/>
      <c r="L34" s="50"/>
      <c r="M34" s="48"/>
      <c r="N34" s="49"/>
      <c r="O34" s="46"/>
      <c r="P34" s="49"/>
      <c r="Q34" s="49"/>
      <c r="R34" s="49"/>
      <c r="S34" s="46"/>
    </row>
    <row r="35" spans="1:19" ht="21.75" customHeight="1" x14ac:dyDescent="0.4">
      <c r="A35" s="17"/>
      <c r="B35" s="17" t="s">
        <v>34</v>
      </c>
      <c r="C35" s="10" t="s">
        <v>21</v>
      </c>
      <c r="D35" s="10" t="s">
        <v>23</v>
      </c>
      <c r="F35" s="7"/>
      <c r="I35" s="48"/>
      <c r="J35" s="49"/>
      <c r="K35" s="50"/>
      <c r="L35" s="50"/>
      <c r="M35" s="48"/>
      <c r="N35" s="49"/>
      <c r="O35" s="46"/>
      <c r="P35" s="49"/>
      <c r="Q35" s="49"/>
      <c r="R35" s="48"/>
      <c r="S35" s="46"/>
    </row>
    <row r="36" spans="1:19" ht="21.75" customHeight="1" x14ac:dyDescent="0.4">
      <c r="A36" s="42">
        <f>A30+1.2*$K$1</f>
        <v>0.77083333333333326</v>
      </c>
      <c r="B36" s="4">
        <f>H3</f>
        <v>6</v>
      </c>
      <c r="C36" s="10" t="str">
        <f>IF(R9="Pdte"," ",R9)</f>
        <v xml:space="preserve"> </v>
      </c>
      <c r="D36" s="10" t="str">
        <f>IF(R22="Pdte"," ",R22)</f>
        <v xml:space="preserve"> </v>
      </c>
      <c r="E36" s="15"/>
      <c r="F36" s="16"/>
      <c r="I36" s="46"/>
      <c r="J36" s="46"/>
      <c r="K36" s="50"/>
      <c r="L36" s="50"/>
      <c r="M36" s="50"/>
      <c r="N36" s="46"/>
      <c r="O36" s="46"/>
      <c r="P36" s="49"/>
      <c r="Q36" s="49"/>
      <c r="R36" s="48"/>
      <c r="S36" s="46"/>
    </row>
    <row r="37" spans="1:19" ht="21.75" customHeight="1" x14ac:dyDescent="0.4">
      <c r="A37" s="17"/>
      <c r="B37" s="17"/>
      <c r="C37" s="7"/>
      <c r="D37" s="7"/>
      <c r="F37" s="7"/>
      <c r="K37" s="50"/>
      <c r="L37" s="50"/>
      <c r="M37" s="50"/>
      <c r="N37" s="46"/>
      <c r="O37" s="46"/>
      <c r="P37" s="49"/>
      <c r="Q37" s="49"/>
      <c r="R37" s="49"/>
      <c r="S37" s="46"/>
    </row>
    <row r="38" spans="1:19" ht="21.75" customHeight="1" x14ac:dyDescent="0.4">
      <c r="A38" s="17"/>
      <c r="B38" s="17" t="s">
        <v>36</v>
      </c>
      <c r="C38" s="10" t="s">
        <v>28</v>
      </c>
      <c r="D38" s="10" t="s">
        <v>30</v>
      </c>
      <c r="F38" s="7"/>
      <c r="K38" s="50"/>
      <c r="L38" s="50"/>
      <c r="M38" s="50"/>
      <c r="N38" s="46"/>
      <c r="O38" s="46"/>
      <c r="P38" s="49"/>
      <c r="Q38" s="49"/>
      <c r="R38" s="49"/>
      <c r="S38" s="46"/>
    </row>
    <row r="39" spans="1:19" ht="21.75" customHeight="1" x14ac:dyDescent="0.4">
      <c r="A39" s="42">
        <f>A30+1.2*$K$1</f>
        <v>0.77083333333333326</v>
      </c>
      <c r="B39" s="4">
        <f>H4</f>
        <v>7</v>
      </c>
      <c r="C39" s="10" t="str">
        <f>IF(R21="Pdte"," ",R21)</f>
        <v xml:space="preserve"> </v>
      </c>
      <c r="D39" s="10" t="str">
        <f>IF(R10="Pdte"," ",R10)</f>
        <v xml:space="preserve"> </v>
      </c>
      <c r="E39" s="15"/>
      <c r="F39" s="16"/>
      <c r="K39" s="50"/>
      <c r="L39" s="50"/>
      <c r="M39" s="50"/>
      <c r="N39" s="46"/>
      <c r="O39" s="46"/>
      <c r="P39" s="49"/>
      <c r="Q39" s="49"/>
      <c r="R39" s="49"/>
      <c r="S39" s="46"/>
    </row>
    <row r="40" spans="1:19" ht="21.75" customHeight="1" x14ac:dyDescent="0.4">
      <c r="A40" s="17"/>
      <c r="B40" s="17"/>
      <c r="C40" s="7"/>
      <c r="D40" s="7"/>
      <c r="F40" s="7"/>
      <c r="K40" s="50"/>
      <c r="L40" s="50"/>
      <c r="M40" s="50"/>
      <c r="N40" s="46"/>
      <c r="O40" s="46"/>
      <c r="P40" s="49"/>
      <c r="Q40" s="49"/>
      <c r="R40" s="48"/>
      <c r="S40" s="46"/>
    </row>
    <row r="41" spans="1:19" ht="21.75" customHeight="1" x14ac:dyDescent="0.3">
      <c r="A41" s="17"/>
      <c r="B41" s="17" t="s">
        <v>38</v>
      </c>
      <c r="C41" s="10" t="s">
        <v>39</v>
      </c>
      <c r="D41" s="10" t="s">
        <v>40</v>
      </c>
      <c r="F41" s="7"/>
    </row>
    <row r="42" spans="1:19" ht="21.75" customHeight="1" x14ac:dyDescent="0.3">
      <c r="A42" s="42">
        <f>A39+$K$1</f>
        <v>0.80555555555555547</v>
      </c>
      <c r="B42" s="4">
        <f>H3</f>
        <v>6</v>
      </c>
      <c r="C42" s="10" t="str">
        <f>IF(E36&gt;F36,C36,IF(E36&lt;F36,D36," "))</f>
        <v xml:space="preserve"> </v>
      </c>
      <c r="D42" s="10" t="str">
        <f>IF(E39&gt;F39,C39,IF(E39&lt;F39,D39," "))</f>
        <v xml:space="preserve"> </v>
      </c>
      <c r="E42" s="15"/>
      <c r="F42" s="16"/>
    </row>
    <row r="45" spans="1:19" ht="21" x14ac:dyDescent="0.4">
      <c r="I45" s="48"/>
      <c r="J45" s="51"/>
      <c r="K45" s="50"/>
      <c r="L45" s="50"/>
      <c r="M45" s="50"/>
      <c r="N45" s="48"/>
      <c r="O45" s="49"/>
      <c r="P45" s="49"/>
      <c r="Q45" s="49"/>
      <c r="R45" s="49"/>
    </row>
    <row r="46" spans="1:19" ht="21" x14ac:dyDescent="0.4">
      <c r="I46" s="48"/>
      <c r="J46" s="51"/>
      <c r="K46" s="50"/>
      <c r="L46" s="50"/>
      <c r="M46" s="50"/>
      <c r="N46" s="48"/>
      <c r="O46" s="49"/>
      <c r="P46" s="49"/>
      <c r="Q46" s="49"/>
      <c r="R46" s="49"/>
    </row>
    <row r="47" spans="1:19" ht="21" x14ac:dyDescent="0.4">
      <c r="I47" s="48"/>
      <c r="J47" s="52"/>
      <c r="K47" s="50"/>
      <c r="L47" s="50"/>
      <c r="M47" s="50"/>
      <c r="N47" s="48"/>
      <c r="O47" s="49"/>
      <c r="P47" s="49"/>
      <c r="Q47" s="49"/>
      <c r="R47" s="48"/>
    </row>
    <row r="48" spans="1:19" ht="21" x14ac:dyDescent="0.4">
      <c r="I48" s="48"/>
      <c r="J48" s="52"/>
      <c r="K48" s="50"/>
      <c r="L48" s="50"/>
      <c r="M48" s="50"/>
      <c r="N48" s="48"/>
      <c r="O48" s="49"/>
      <c r="P48" s="49"/>
      <c r="Q48" s="49"/>
      <c r="R48" s="48"/>
    </row>
    <row r="49" spans="9:18" ht="21" x14ac:dyDescent="0.4">
      <c r="I49" s="48"/>
      <c r="J49" s="52"/>
      <c r="K49" s="50"/>
      <c r="L49" s="50"/>
      <c r="M49" s="50"/>
      <c r="N49" s="48"/>
      <c r="O49" s="49"/>
      <c r="P49" s="49"/>
      <c r="Q49" s="49"/>
      <c r="R49" s="48"/>
    </row>
  </sheetData>
  <mergeCells count="1">
    <mergeCell ref="A1:F6"/>
  </mergeCells>
  <conditionalFormatting sqref="R9">
    <cfRule type="duplicateValues" dxfId="9" priority="6"/>
  </conditionalFormatting>
  <conditionalFormatting sqref="R10:R13">
    <cfRule type="duplicateValues" dxfId="8" priority="5"/>
  </conditionalFormatting>
  <conditionalFormatting sqref="R21">
    <cfRule type="duplicateValues" dxfId="7" priority="4"/>
  </conditionalFormatting>
  <conditionalFormatting sqref="R22:R25">
    <cfRule type="duplicateValues" dxfId="6" priority="3"/>
  </conditionalFormatting>
  <conditionalFormatting sqref="R37:R40 R45:R47">
    <cfRule type="containsText" dxfId="5" priority="2" stopIfTrue="1" operator="containsText" text="No Consta">
      <formula>NOT(ISERROR(SEARCH("No Consta",R37)))</formula>
    </cfRule>
  </conditionalFormatting>
  <conditionalFormatting sqref="R49">
    <cfRule type="containsText" dxfId="4" priority="1" stopIfTrue="1" operator="containsText" text="No Consta">
      <formula>NOT(ISERROR(SEARCH("No Consta",R49)))</formula>
    </cfRule>
  </conditionalFormatting>
  <conditionalFormatting sqref="M36:M40 M45:M49">
    <cfRule type="duplicateValues" dxfId="3" priority="7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workbookViewId="0">
      <selection activeCell="I24" sqref="I24"/>
    </sheetView>
  </sheetViews>
  <sheetFormatPr baseColWidth="10" defaultColWidth="11.44140625" defaultRowHeight="14.4" x14ac:dyDescent="0.3"/>
  <cols>
    <col min="1" max="1" width="9.6640625" bestFit="1" customWidth="1"/>
    <col min="2" max="2" width="5.33203125" bestFit="1" customWidth="1"/>
    <col min="3" max="3" width="42.109375" bestFit="1" customWidth="1"/>
    <col min="4" max="4" width="42.44140625" bestFit="1" customWidth="1"/>
    <col min="5" max="5" width="11.44140625" style="7"/>
    <col min="9" max="9" width="41.33203125" style="7" bestFit="1" customWidth="1"/>
    <col min="10" max="10" width="40.6640625" style="7" bestFit="1" customWidth="1"/>
    <col min="11" max="11" width="15.33203125" bestFit="1" customWidth="1"/>
    <col min="12" max="12" width="6.5546875" bestFit="1" customWidth="1"/>
    <col min="13" max="13" width="6.6640625" bestFit="1" customWidth="1"/>
    <col min="18" max="18" width="19.109375" customWidth="1"/>
  </cols>
  <sheetData>
    <row r="1" spans="1:18" x14ac:dyDescent="0.3">
      <c r="A1" s="57" t="s">
        <v>69</v>
      </c>
      <c r="B1" s="57"/>
      <c r="C1" s="57"/>
      <c r="D1" s="58"/>
      <c r="E1" s="58"/>
      <c r="F1" s="58"/>
      <c r="K1" s="29" t="s">
        <v>63</v>
      </c>
      <c r="L1" s="30">
        <v>0.375</v>
      </c>
      <c r="N1" t="s">
        <v>68</v>
      </c>
      <c r="O1" s="32">
        <v>3.4722222222222224E-2</v>
      </c>
    </row>
    <row r="2" spans="1:18" x14ac:dyDescent="0.3">
      <c r="A2" s="57"/>
      <c r="B2" s="57"/>
      <c r="C2" s="57"/>
      <c r="D2" s="58"/>
      <c r="E2" s="58"/>
      <c r="F2" s="58"/>
      <c r="K2" s="31" t="s">
        <v>43</v>
      </c>
      <c r="L2" s="4">
        <v>2</v>
      </c>
    </row>
    <row r="3" spans="1:18" x14ac:dyDescent="0.3">
      <c r="A3" s="57"/>
      <c r="B3" s="57"/>
      <c r="C3" s="57"/>
      <c r="D3" s="58"/>
      <c r="E3" s="58"/>
      <c r="F3" s="58"/>
      <c r="K3" t="s">
        <v>44</v>
      </c>
      <c r="L3" s="34">
        <v>4</v>
      </c>
    </row>
    <row r="4" spans="1:18" x14ac:dyDescent="0.3">
      <c r="A4" s="57"/>
      <c r="B4" s="57"/>
      <c r="C4" s="57"/>
      <c r="D4" s="58"/>
      <c r="E4" s="58"/>
      <c r="F4" s="58"/>
      <c r="L4" s="34">
        <v>5</v>
      </c>
    </row>
    <row r="5" spans="1:18" x14ac:dyDescent="0.3">
      <c r="A5" s="57"/>
      <c r="B5" s="57"/>
      <c r="C5" s="57"/>
      <c r="D5" s="58"/>
      <c r="E5" s="58"/>
      <c r="F5" s="58"/>
    </row>
    <row r="6" spans="1:18" x14ac:dyDescent="0.3">
      <c r="A6" s="57"/>
      <c r="B6" s="57"/>
      <c r="C6" s="57"/>
      <c r="D6" s="58"/>
      <c r="E6" s="58"/>
      <c r="F6" s="58"/>
    </row>
    <row r="7" spans="1:18" ht="61.2" x14ac:dyDescent="1.1000000000000001">
      <c r="A7" s="2"/>
      <c r="B7" s="2"/>
      <c r="C7" s="2"/>
      <c r="D7" s="3"/>
      <c r="E7" s="3"/>
      <c r="F7" s="3"/>
    </row>
    <row r="8" spans="1:18" s="7" customFormat="1" ht="22.5" customHeight="1" x14ac:dyDescent="0.35">
      <c r="A8" s="4" t="s">
        <v>1</v>
      </c>
      <c r="B8" s="4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H8" s="8" t="s">
        <v>7</v>
      </c>
      <c r="I8" s="9" t="s">
        <v>8</v>
      </c>
      <c r="J8" s="9"/>
      <c r="K8" s="4" t="s">
        <v>9</v>
      </c>
      <c r="L8" s="4" t="s">
        <v>10</v>
      </c>
      <c r="M8" s="4" t="s">
        <v>11</v>
      </c>
      <c r="N8" s="10" t="s">
        <v>12</v>
      </c>
      <c r="O8" s="10" t="s">
        <v>13</v>
      </c>
      <c r="P8"/>
      <c r="Q8" s="4" t="s">
        <v>14</v>
      </c>
      <c r="R8" s="4" t="s">
        <v>8</v>
      </c>
    </row>
    <row r="9" spans="1:18" ht="22.5" customHeight="1" x14ac:dyDescent="0.35">
      <c r="A9" s="11">
        <f>A18</f>
        <v>0.40972222222222221</v>
      </c>
      <c r="B9" s="4">
        <f>L3</f>
        <v>4</v>
      </c>
      <c r="C9" s="10" t="str">
        <f>I9</f>
        <v>beach club esportiu el pendulo MPME</v>
      </c>
      <c r="D9" s="10" t="str">
        <f>I11</f>
        <v>AE VOLEI MANRESA</v>
      </c>
      <c r="E9" s="15"/>
      <c r="F9" s="16"/>
      <c r="H9" s="8">
        <f>RANK(O9,O9:O12,0)</f>
        <v>1</v>
      </c>
      <c r="I9" s="10" t="s">
        <v>103</v>
      </c>
      <c r="J9" s="10" t="s">
        <v>93</v>
      </c>
      <c r="K9" s="4">
        <f>(IF(E9&gt;F9,1,IF(E9&lt;F9,0,))+(IF(E11&gt;F11,1,IF(E11&lt;F11,0,))+(IF(E13&gt;F13,1,IF(E13&lt;F13,0,)))))</f>
        <v>0</v>
      </c>
      <c r="L9" s="4">
        <f>E9+E11+E13</f>
        <v>0</v>
      </c>
      <c r="M9" s="4">
        <f>F9+F11+F13</f>
        <v>0</v>
      </c>
      <c r="N9" s="13" t="str">
        <f>IFERROR(L9/M9,"Max")</f>
        <v>Max</v>
      </c>
      <c r="O9" s="13">
        <f>IF(N9="Max",400,(K9*100)+N9)</f>
        <v>400</v>
      </c>
      <c r="Q9" s="14">
        <v>1</v>
      </c>
      <c r="R9" s="8" t="str">
        <f>IF($K9+$K10+$K11+$K12=6,INDEX(I9:I12,MATCH($Q9,H9:H12,0)),"Pdte")</f>
        <v>Pdte</v>
      </c>
    </row>
    <row r="10" spans="1:18" ht="22.5" customHeight="1" x14ac:dyDescent="0.35">
      <c r="A10" s="11">
        <f>A9+$O$1</f>
        <v>0.44444444444444442</v>
      </c>
      <c r="B10" s="4">
        <f>L3</f>
        <v>4</v>
      </c>
      <c r="C10" s="10" t="str">
        <f>I10</f>
        <v>CLUB ESPORTIU VOLEI PLATJA ROQUETES TTCI</v>
      </c>
      <c r="D10" s="10" t="str">
        <f>I12</f>
        <v>FEDERACIÓN ANDORRA</v>
      </c>
      <c r="E10" s="15"/>
      <c r="F10" s="16"/>
      <c r="H10" s="8">
        <f>RANK(O10,O9:O12,0)</f>
        <v>1</v>
      </c>
      <c r="I10" s="10" t="s">
        <v>105</v>
      </c>
      <c r="J10" s="10" t="s">
        <v>96</v>
      </c>
      <c r="K10" s="4">
        <f>(IF(E10&gt;F10,1,IF(E10&lt;F10,0,))+(IF(E12&gt;F12,1,IF(E12&lt;F12,0,))+(IF(F13&gt;E13,1,IF(F13&lt;E13,0,)))))</f>
        <v>0</v>
      </c>
      <c r="L10" s="4">
        <f>E10+E12+F13</f>
        <v>0</v>
      </c>
      <c r="M10" s="4">
        <f>F10+F12+E13</f>
        <v>0</v>
      </c>
      <c r="N10" s="13" t="str">
        <f>IFERROR(L10/M10,"Max")</f>
        <v>Max</v>
      </c>
      <c r="O10" s="13">
        <f>IF(N10="Max",400,(K10*100)+N10)</f>
        <v>400</v>
      </c>
      <c r="Q10" s="14">
        <v>2</v>
      </c>
      <c r="R10" s="8" t="str">
        <f>IF($K10+$K11+$K12+$K9=6,INDEX(I9:I12,MATCH($Q10,H9:H12,0)),"Pdte")</f>
        <v>Pdte</v>
      </c>
    </row>
    <row r="11" spans="1:18" ht="22.5" customHeight="1" x14ac:dyDescent="0.35">
      <c r="A11" s="11">
        <f>A10+$O$1</f>
        <v>0.47916666666666663</v>
      </c>
      <c r="B11" s="4">
        <f>L3</f>
        <v>4</v>
      </c>
      <c r="C11" s="10" t="str">
        <f>I9</f>
        <v>beach club esportiu el pendulo MPME</v>
      </c>
      <c r="D11" s="10" t="str">
        <f>I12</f>
        <v>FEDERACIÓN ANDORRA</v>
      </c>
      <c r="E11" s="15"/>
      <c r="F11" s="16"/>
      <c r="H11" s="8">
        <f>RANK(O11,O9:O12,0)</f>
        <v>1</v>
      </c>
      <c r="I11" s="10" t="s">
        <v>88</v>
      </c>
      <c r="J11" s="10" t="s">
        <v>97</v>
      </c>
      <c r="K11" s="4">
        <f>(IF(F9&gt;E9,1,IF(F9&lt;E9,0,))+(IF(F12&gt;E12,1,IF(F12&lt;E12,0,))+(IF(E14&gt;F14,1,IF(E14&lt;F14,0,)))))</f>
        <v>0</v>
      </c>
      <c r="L11" s="4">
        <f>F9+F12+E14</f>
        <v>0</v>
      </c>
      <c r="M11" s="4">
        <f>E9+E12+F14</f>
        <v>0</v>
      </c>
      <c r="N11" s="13" t="str">
        <f>IFERROR(L11/M11,"Max")</f>
        <v>Max</v>
      </c>
      <c r="O11" s="13">
        <f>IF(N11="Max",400,(K11*100)+N11)</f>
        <v>400</v>
      </c>
      <c r="Q11" s="14">
        <v>3</v>
      </c>
      <c r="R11" s="8" t="str">
        <f>IF($K11+$K12+$K9+$K10=6,INDEX(I9:I12,MATCH($Q11,H9:H12,0)),"Pdte")</f>
        <v>Pdte</v>
      </c>
    </row>
    <row r="12" spans="1:18" ht="22.5" customHeight="1" x14ac:dyDescent="0.35">
      <c r="A12" s="11">
        <f>A11+$O$1</f>
        <v>0.51388888888888884</v>
      </c>
      <c r="B12" s="4">
        <f>L3</f>
        <v>4</v>
      </c>
      <c r="C12" s="10" t="str">
        <f>I10</f>
        <v>CLUB ESPORTIU VOLEI PLATJA ROQUETES TTCI</v>
      </c>
      <c r="D12" s="10" t="str">
        <f>I11</f>
        <v>AE VOLEI MANRESA</v>
      </c>
      <c r="E12" s="15"/>
      <c r="F12" s="16"/>
      <c r="H12" s="8">
        <f>RANK(O12,O9:O12,0)</f>
        <v>1</v>
      </c>
      <c r="I12" s="10" t="s">
        <v>101</v>
      </c>
      <c r="J12" s="10" t="s">
        <v>100</v>
      </c>
      <c r="K12" s="4">
        <f>(IF(F10&gt;E10,1,IF(F10&lt;E10,0,))+(IF(F11&gt;E11,1,IF(F11&lt;E11,0,))+(IF(F14&gt;E14,1,IF(F14&lt;E14,0,)))))</f>
        <v>0</v>
      </c>
      <c r="L12" s="4">
        <f>F10+F11+F14</f>
        <v>0</v>
      </c>
      <c r="M12" s="4">
        <f>E10+E11+E14</f>
        <v>0</v>
      </c>
      <c r="N12" s="13" t="str">
        <f>IFERROR(L12/M12,"Max")</f>
        <v>Max</v>
      </c>
      <c r="O12" s="13">
        <f>IF(N12="Max",400,(K12*100)+N12)</f>
        <v>400</v>
      </c>
      <c r="Q12" s="14">
        <v>4</v>
      </c>
      <c r="R12" s="8" t="str">
        <f>IF($K9+$K10+$K11+$K12=6,INDEX(I9:I12,MATCH($Q12,H9:H12,0)),"Pdte")</f>
        <v>Pdte</v>
      </c>
    </row>
    <row r="13" spans="1:18" ht="22.5" customHeight="1" x14ac:dyDescent="0.3">
      <c r="A13" s="11">
        <f>A12+$O$1</f>
        <v>0.54861111111111105</v>
      </c>
      <c r="B13" s="4">
        <f>L3</f>
        <v>4</v>
      </c>
      <c r="C13" s="10" t="str">
        <f>I9</f>
        <v>beach club esportiu el pendulo MPME</v>
      </c>
      <c r="D13" s="10" t="str">
        <f>I10</f>
        <v>CLUB ESPORTIU VOLEI PLATJA ROQUETES TTCI</v>
      </c>
      <c r="E13" s="15"/>
      <c r="F13" s="16"/>
      <c r="I13"/>
      <c r="J13"/>
    </row>
    <row r="14" spans="1:18" ht="22.5" customHeight="1" x14ac:dyDescent="0.3">
      <c r="A14" s="11">
        <f>A13+$O$1</f>
        <v>0.58333333333333326</v>
      </c>
      <c r="B14" s="4">
        <f>L3</f>
        <v>4</v>
      </c>
      <c r="C14" s="10" t="str">
        <f>I11</f>
        <v>AE VOLEI MANRESA</v>
      </c>
      <c r="D14" s="10" t="str">
        <f>I12</f>
        <v>FEDERACIÓN ANDORRA</v>
      </c>
      <c r="E14" s="15"/>
      <c r="F14" s="16"/>
    </row>
    <row r="15" spans="1:18" ht="22.5" customHeight="1" x14ac:dyDescent="0.3"/>
    <row r="16" spans="1:18" ht="22.5" customHeight="1" x14ac:dyDescent="0.3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</row>
    <row r="17" spans="1:18" ht="22.5" customHeight="1" x14ac:dyDescent="0.35">
      <c r="A17" s="11">
        <f>L1</f>
        <v>0.375</v>
      </c>
      <c r="B17" s="4">
        <f>L4</f>
        <v>5</v>
      </c>
      <c r="C17" s="10" t="str">
        <f>I20</f>
        <v>CV A.V.A.P</v>
      </c>
      <c r="D17" s="10" t="str">
        <f>I21</f>
        <v>CLUB ESPORTIU VOLEI PLATJA ROQUETES BRZB</v>
      </c>
      <c r="E17" s="12"/>
      <c r="F17" s="12"/>
      <c r="H17" s="8" t="s">
        <v>7</v>
      </c>
      <c r="I17" s="17" t="s">
        <v>15</v>
      </c>
      <c r="J17" s="17"/>
      <c r="K17" s="4" t="s">
        <v>9</v>
      </c>
      <c r="L17" s="4" t="s">
        <v>10</v>
      </c>
      <c r="M17" s="4" t="s">
        <v>11</v>
      </c>
      <c r="N17" s="10" t="s">
        <v>12</v>
      </c>
      <c r="O17" s="10" t="s">
        <v>13</v>
      </c>
      <c r="Q17" s="4" t="s">
        <v>14</v>
      </c>
      <c r="R17" s="4" t="s">
        <v>15</v>
      </c>
    </row>
    <row r="18" spans="1:18" ht="22.5" customHeight="1" x14ac:dyDescent="0.35">
      <c r="A18" s="11">
        <f t="shared" ref="A18:A25" si="0">A17+$O$1</f>
        <v>0.40972222222222221</v>
      </c>
      <c r="B18" s="4">
        <f>L4</f>
        <v>5</v>
      </c>
      <c r="C18" s="10" t="str">
        <f>I18</f>
        <v>beach club esportiu el pendulo NSRH</v>
      </c>
      <c r="D18" s="10" t="str">
        <f>I22</f>
        <v>CLUB ESPORTIU VOLEI PLATJA ROQUETES GSPV</v>
      </c>
      <c r="E18" s="12"/>
      <c r="F18" s="12"/>
      <c r="H18" s="8">
        <f>RANK(O18,O$18:O$22,0)</f>
        <v>1</v>
      </c>
      <c r="I18" s="10" t="s">
        <v>102</v>
      </c>
      <c r="J18" s="10" t="s">
        <v>92</v>
      </c>
      <c r="K18" s="4">
        <f>(IF(E18&gt;F18,1,IF(E18&lt;F18,0,))+(IF(E20&gt;F20,1,IF(E20&lt;F20,0,))+(IF(E22&gt;F22,1,IF(E22&lt;F22,0,))+(IF(E25&gt;F25,1,IF(E25&lt;F25,0,))))))</f>
        <v>0</v>
      </c>
      <c r="L18" s="4">
        <f>E18+E20+E22+E25</f>
        <v>0</v>
      </c>
      <c r="M18" s="4">
        <f>F18+F20+F22+F25</f>
        <v>0</v>
      </c>
      <c r="N18" s="13" t="str">
        <f>IFERROR(L18/M18,"Max")</f>
        <v>Max</v>
      </c>
      <c r="O18" s="13">
        <f>IF(N18="Max",500,(K18*100)+N18)</f>
        <v>500</v>
      </c>
      <c r="Q18" s="14">
        <v>1</v>
      </c>
      <c r="R18" s="8" t="str">
        <f>IF($K18+$K19+$K20+$K21+K22=10,INDEX(I18:I22,MATCH($Q18,H18:H22,0)),"Pdte")</f>
        <v>Pdte</v>
      </c>
    </row>
    <row r="19" spans="1:18" ht="22.5" customHeight="1" x14ac:dyDescent="0.35">
      <c r="A19" s="11">
        <f t="shared" si="0"/>
        <v>0.44444444444444442</v>
      </c>
      <c r="B19" s="4">
        <f>L4</f>
        <v>5</v>
      </c>
      <c r="C19" s="10" t="str">
        <f>I19</f>
        <v>CLUB VOLEI PLATJA ARENYS</v>
      </c>
      <c r="D19" s="10" t="str">
        <f>I21</f>
        <v>CLUB ESPORTIU VOLEI PLATJA ROQUETES BRZB</v>
      </c>
      <c r="E19" s="12"/>
      <c r="F19" s="12"/>
      <c r="H19" s="8">
        <f>RANK(O19,O$18:O$22,0)</f>
        <v>1</v>
      </c>
      <c r="I19" s="10" t="s">
        <v>104</v>
      </c>
      <c r="J19" s="10" t="s">
        <v>94</v>
      </c>
      <c r="K19" s="4">
        <f>(IF(E19&gt;F19,1,IF(E19&lt;F19,0,))+(IF(E21&gt;F21,1,IF(E21&lt;F21,0,))+(IF(E23&gt;F23,1,IF(E23&lt;F23,0,))+IF(F25&gt;E25,1,IF(F25&lt;E25,0,)))))</f>
        <v>0</v>
      </c>
      <c r="L19" s="4">
        <f>E19+E21+E23+F25</f>
        <v>0</v>
      </c>
      <c r="M19" s="4">
        <f>F19+F21+F23+E25</f>
        <v>0</v>
      </c>
      <c r="N19" s="13" t="str">
        <f t="shared" ref="N19:N22" si="1">IFERROR(L19/M19,"Max")</f>
        <v>Max</v>
      </c>
      <c r="O19" s="13">
        <f t="shared" ref="O19:O22" si="2">IF(N19="Max",500,(K19*100)+N19)</f>
        <v>500</v>
      </c>
      <c r="Q19" s="14">
        <v>2</v>
      </c>
      <c r="R19" s="8" t="str">
        <f>IF($K19+$K20+$K21+$K22+K18=10,INDEX(I18:I22,MATCH($Q19,H18:H22,0)),"Pdte")</f>
        <v>Pdte</v>
      </c>
    </row>
    <row r="20" spans="1:18" ht="22.5" customHeight="1" x14ac:dyDescent="0.35">
      <c r="A20" s="11">
        <f t="shared" si="0"/>
        <v>0.47916666666666663</v>
      </c>
      <c r="B20" s="4">
        <f>L4</f>
        <v>5</v>
      </c>
      <c r="C20" s="10" t="str">
        <f>I18</f>
        <v>beach club esportiu el pendulo NSRH</v>
      </c>
      <c r="D20" s="10" t="str">
        <f>I20</f>
        <v>CV A.V.A.P</v>
      </c>
      <c r="E20" s="12"/>
      <c r="F20" s="12"/>
      <c r="H20" s="8">
        <f>RANK(O20,O$18:O$22,0)</f>
        <v>1</v>
      </c>
      <c r="I20" s="10" t="s">
        <v>161</v>
      </c>
      <c r="J20" s="10" t="s">
        <v>95</v>
      </c>
      <c r="K20" s="4">
        <f>(IF(E17&gt;F17,1,IF(E17&lt;F17,0,))+(IF(F20&gt;E20,1,IF(F20&lt;E20,0,))+(IF(F23&gt;E23,1,IF(F23&lt;E23,0,))+(IF(E26&gt;F26,1,IF(E26&lt;F26,0,))))))</f>
        <v>0</v>
      </c>
      <c r="L20" s="4">
        <f>F20+F23+E17+E26</f>
        <v>0</v>
      </c>
      <c r="M20" s="4">
        <f>E20+E23+F17+F26</f>
        <v>0</v>
      </c>
      <c r="N20" s="13" t="str">
        <f t="shared" si="1"/>
        <v>Max</v>
      </c>
      <c r="O20" s="13">
        <f t="shared" si="2"/>
        <v>500</v>
      </c>
      <c r="Q20" s="14">
        <v>3</v>
      </c>
      <c r="R20" s="8" t="str">
        <f>IF($K20+$K21+$K22+$K19+K18=10,INDEX(I18:I22,MATCH($Q20,H18:H22,0)),"Pdte")</f>
        <v>Pdte</v>
      </c>
    </row>
    <row r="21" spans="1:18" ht="22.5" customHeight="1" x14ac:dyDescent="0.35">
      <c r="A21" s="11">
        <f t="shared" si="0"/>
        <v>0.51388888888888884</v>
      </c>
      <c r="B21" s="4">
        <f>L4</f>
        <v>5</v>
      </c>
      <c r="C21" s="10" t="str">
        <f>I19</f>
        <v>CLUB VOLEI PLATJA ARENYS</v>
      </c>
      <c r="D21" s="10" t="str">
        <f>I22</f>
        <v>CLUB ESPORTIU VOLEI PLATJA ROQUETES GSPV</v>
      </c>
      <c r="E21" s="12"/>
      <c r="F21" s="12"/>
      <c r="H21" s="8">
        <f>RANK(O21,O$18:O$22,0)</f>
        <v>1</v>
      </c>
      <c r="I21" s="10" t="s">
        <v>106</v>
      </c>
      <c r="J21" s="10" t="s">
        <v>98</v>
      </c>
      <c r="K21" s="4">
        <f>(IF(F17&gt;E17,1,IF(F17&lt;E17,0,))+(IF(F19&gt;E19,1,IF(F19&lt;E19,0,))+(IF(F22&gt;E22,1,IF(F22&lt;E22,0,))+(IF(E24&gt;F24,1,IF(E24&lt;F24,0,))))))</f>
        <v>0</v>
      </c>
      <c r="L21" s="4">
        <f>F19+F22+F17+E24</f>
        <v>0</v>
      </c>
      <c r="M21" s="4">
        <f>E19+E22+E17+F24</f>
        <v>0</v>
      </c>
      <c r="N21" s="13" t="str">
        <f t="shared" si="1"/>
        <v>Max</v>
      </c>
      <c r="O21" s="13">
        <f t="shared" si="2"/>
        <v>500</v>
      </c>
      <c r="Q21" s="14">
        <v>4</v>
      </c>
      <c r="R21" s="8" t="str">
        <f>IF($K21+$K22+$K20+$K19+K18=10,INDEX(I18:I22,MATCH($Q21,H18:H22,0)),"Pdte")</f>
        <v>Pdte</v>
      </c>
    </row>
    <row r="22" spans="1:18" ht="22.5" customHeight="1" x14ac:dyDescent="0.35">
      <c r="A22" s="11">
        <f t="shared" si="0"/>
        <v>0.54861111111111105</v>
      </c>
      <c r="B22" s="4">
        <f>L4</f>
        <v>5</v>
      </c>
      <c r="C22" s="10" t="str">
        <f>I18</f>
        <v>beach club esportiu el pendulo NSRH</v>
      </c>
      <c r="D22" s="10" t="str">
        <f>I21</f>
        <v>CLUB ESPORTIU VOLEI PLATJA ROQUETES BRZB</v>
      </c>
      <c r="E22" s="12"/>
      <c r="F22" s="12"/>
      <c r="H22" s="8">
        <f>RANK(O22,O$18:O$22,0)</f>
        <v>1</v>
      </c>
      <c r="I22" s="10" t="s">
        <v>107</v>
      </c>
      <c r="J22" s="10" t="s">
        <v>99</v>
      </c>
      <c r="K22" s="4">
        <f>(IF(F18&gt;E18,1,IF(F18&lt;E18,0,))+(IF(F21&gt;E21,1,IF(F21&lt;E21,0,))+(IF(F24&gt;E24,1,IF(F24&lt;E24,0,))+(IF(F26&gt;E26,1,IF(F26&lt;E26,0,))))))</f>
        <v>0</v>
      </c>
      <c r="L22" s="4">
        <f>F18+F21+F24+F26</f>
        <v>0</v>
      </c>
      <c r="M22" s="4">
        <f>E18+E21+E24+E26</f>
        <v>0</v>
      </c>
      <c r="N22" s="13" t="str">
        <f t="shared" si="1"/>
        <v>Max</v>
      </c>
      <c r="O22" s="13">
        <f t="shared" si="2"/>
        <v>500</v>
      </c>
      <c r="Q22" s="14">
        <v>5</v>
      </c>
      <c r="R22" s="8" t="str">
        <f>IF($K22+$K21+$K20+$K19+K18=10,INDEX(I18:I22,MATCH($Q22,H18:H22,0)),"Pdte")</f>
        <v>Pdte</v>
      </c>
    </row>
    <row r="23" spans="1:18" ht="22.5" customHeight="1" x14ac:dyDescent="0.3">
      <c r="A23" s="11">
        <f t="shared" si="0"/>
        <v>0.58333333333333326</v>
      </c>
      <c r="B23" s="4">
        <f>L4</f>
        <v>5</v>
      </c>
      <c r="C23" s="10" t="str">
        <f>I19</f>
        <v>CLUB VOLEI PLATJA ARENYS</v>
      </c>
      <c r="D23" s="10" t="str">
        <f>I20</f>
        <v>CV A.V.A.P</v>
      </c>
      <c r="E23" s="12"/>
      <c r="F23" s="12"/>
    </row>
    <row r="24" spans="1:18" ht="22.5" customHeight="1" x14ac:dyDescent="0.3">
      <c r="A24" s="11">
        <f t="shared" si="0"/>
        <v>0.61805555555555547</v>
      </c>
      <c r="B24" s="4">
        <f>L4</f>
        <v>5</v>
      </c>
      <c r="C24" s="10" t="str">
        <f>I21</f>
        <v>CLUB ESPORTIU VOLEI PLATJA ROQUETES BRZB</v>
      </c>
      <c r="D24" s="10" t="str">
        <f>I22</f>
        <v>CLUB ESPORTIU VOLEI PLATJA ROQUETES GSPV</v>
      </c>
      <c r="E24" s="12"/>
      <c r="F24" s="12"/>
    </row>
    <row r="25" spans="1:18" ht="22.5" customHeight="1" x14ac:dyDescent="0.3">
      <c r="A25" s="11">
        <f t="shared" si="0"/>
        <v>0.65277777777777768</v>
      </c>
      <c r="B25" s="4">
        <f>L4</f>
        <v>5</v>
      </c>
      <c r="C25" s="10" t="str">
        <f>I18</f>
        <v>beach club esportiu el pendulo NSRH</v>
      </c>
      <c r="D25" s="10" t="str">
        <f>I19</f>
        <v>CLUB VOLEI PLATJA ARENYS</v>
      </c>
      <c r="E25" s="12"/>
      <c r="F25" s="12"/>
    </row>
    <row r="26" spans="1:18" ht="22.5" customHeight="1" x14ac:dyDescent="0.3">
      <c r="A26" s="11">
        <f>A24+$O$1</f>
        <v>0.65277777777777768</v>
      </c>
      <c r="B26" s="4">
        <f>B14</f>
        <v>4</v>
      </c>
      <c r="C26" s="10" t="str">
        <f>I20</f>
        <v>CV A.V.A.P</v>
      </c>
      <c r="D26" s="10" t="str">
        <f>I22</f>
        <v>CLUB ESPORTIU VOLEI PLATJA ROQUETES GSPV</v>
      </c>
      <c r="E26" s="12"/>
      <c r="F26" s="12"/>
      <c r="H26" s="35"/>
      <c r="L26" s="35"/>
    </row>
    <row r="27" spans="1:18" ht="21.75" customHeight="1" x14ac:dyDescent="0.3"/>
    <row r="28" spans="1:18" ht="21.75" customHeight="1" x14ac:dyDescent="0.3">
      <c r="A28" s="10" t="s">
        <v>19</v>
      </c>
      <c r="B28" s="17"/>
      <c r="C28" s="7"/>
      <c r="D28" s="7"/>
      <c r="F28" s="7"/>
    </row>
    <row r="29" spans="1:18" ht="21.75" customHeight="1" x14ac:dyDescent="0.3">
      <c r="A29" s="4" t="s">
        <v>1</v>
      </c>
      <c r="B29" s="4" t="s">
        <v>2</v>
      </c>
      <c r="C29" s="10" t="s">
        <v>3</v>
      </c>
      <c r="D29" s="10" t="s">
        <v>4</v>
      </c>
      <c r="E29" s="10" t="s">
        <v>6</v>
      </c>
      <c r="F29" s="10" t="s">
        <v>6</v>
      </c>
    </row>
    <row r="30" spans="1:18" ht="21.75" customHeight="1" x14ac:dyDescent="0.3">
      <c r="A30" s="17"/>
      <c r="B30" s="17"/>
      <c r="C30" s="7"/>
      <c r="D30" s="7"/>
      <c r="F30" s="7"/>
    </row>
    <row r="31" spans="1:18" ht="21.75" customHeight="1" x14ac:dyDescent="0.3">
      <c r="A31" s="17"/>
      <c r="B31" s="17" t="s">
        <v>34</v>
      </c>
      <c r="C31" s="10" t="s">
        <v>21</v>
      </c>
      <c r="D31" s="10" t="s">
        <v>23</v>
      </c>
      <c r="F31" s="7"/>
    </row>
    <row r="32" spans="1:18" ht="21.75" customHeight="1" x14ac:dyDescent="0.3">
      <c r="A32" s="11">
        <f>A26+1.5*$O$1</f>
        <v>0.70486111111111105</v>
      </c>
      <c r="B32" s="4">
        <f>L3</f>
        <v>4</v>
      </c>
      <c r="C32" s="10" t="str">
        <f>IF(R9="Pdte"," ",R9)</f>
        <v xml:space="preserve"> </v>
      </c>
      <c r="D32" s="10" t="str">
        <f>IF(R19="Pdte"," ",R19)</f>
        <v xml:space="preserve"> </v>
      </c>
      <c r="E32" s="15"/>
      <c r="F32" s="16"/>
    </row>
    <row r="33" spans="1:6" ht="21.75" customHeight="1" x14ac:dyDescent="0.3">
      <c r="A33" s="17"/>
      <c r="B33" s="17"/>
      <c r="C33" s="7"/>
      <c r="D33" s="7"/>
      <c r="F33" s="7"/>
    </row>
    <row r="34" spans="1:6" ht="21.75" customHeight="1" x14ac:dyDescent="0.3">
      <c r="A34" s="17"/>
      <c r="B34" s="17" t="s">
        <v>36</v>
      </c>
      <c r="C34" s="10" t="s">
        <v>28</v>
      </c>
      <c r="D34" s="10" t="s">
        <v>30</v>
      </c>
      <c r="F34" s="7"/>
    </row>
    <row r="35" spans="1:6" ht="21.75" customHeight="1" x14ac:dyDescent="0.3">
      <c r="A35" s="42">
        <f>A26+1.5*$O$1</f>
        <v>0.70486111111111105</v>
      </c>
      <c r="B35" s="4">
        <f>L4</f>
        <v>5</v>
      </c>
      <c r="C35" s="10" t="str">
        <f>IF(R18="Pdte"," ",R18)</f>
        <v xml:space="preserve"> </v>
      </c>
      <c r="D35" s="10" t="str">
        <f>IF(R10="Pdte"," ",R10)</f>
        <v xml:space="preserve"> </v>
      </c>
      <c r="E35" s="15"/>
      <c r="F35" s="16"/>
    </row>
    <row r="36" spans="1:6" ht="21.75" customHeight="1" x14ac:dyDescent="0.3">
      <c r="A36" s="17"/>
      <c r="B36" s="17"/>
      <c r="C36" s="7"/>
      <c r="D36" s="7"/>
      <c r="F36" s="7"/>
    </row>
    <row r="37" spans="1:6" ht="21.75" customHeight="1" x14ac:dyDescent="0.3">
      <c r="A37" s="17"/>
      <c r="B37" s="17" t="s">
        <v>38</v>
      </c>
      <c r="C37" s="10" t="s">
        <v>39</v>
      </c>
      <c r="D37" s="10" t="s">
        <v>40</v>
      </c>
      <c r="F37" s="7"/>
    </row>
    <row r="38" spans="1:6" ht="21.75" customHeight="1" x14ac:dyDescent="0.3">
      <c r="A38" s="47">
        <f>A35+0.0175</f>
        <v>0.72236111111111101</v>
      </c>
      <c r="B38" s="4">
        <f>L3</f>
        <v>4</v>
      </c>
      <c r="C38" s="10" t="str">
        <f>IF(E32&gt;F32,C32,IF(E32&lt;F32,D32," "))</f>
        <v xml:space="preserve"> </v>
      </c>
      <c r="D38" s="10" t="str">
        <f>IF(E35&gt;F35,C35,IF(E35&lt;F35,D35," "))</f>
        <v xml:space="preserve"> </v>
      </c>
      <c r="E38" s="15"/>
      <c r="F38" s="16"/>
    </row>
  </sheetData>
  <mergeCells count="1">
    <mergeCell ref="A1:F6"/>
  </mergeCells>
  <conditionalFormatting sqref="R18">
    <cfRule type="duplicateValues" dxfId="12" priority="3"/>
  </conditionalFormatting>
  <conditionalFormatting sqref="R19:R22">
    <cfRule type="duplicateValues" dxfId="11" priority="2"/>
  </conditionalFormatting>
  <conditionalFormatting sqref="R9:R12">
    <cfRule type="duplicateValues" dxfId="10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I25" sqref="I25"/>
    </sheetView>
  </sheetViews>
  <sheetFormatPr baseColWidth="10" defaultColWidth="11.44140625" defaultRowHeight="14.4" x14ac:dyDescent="0.3"/>
  <cols>
    <col min="1" max="1" width="9.6640625" bestFit="1" customWidth="1"/>
    <col min="2" max="2" width="5.33203125" bestFit="1" customWidth="1"/>
    <col min="3" max="3" width="42.109375" bestFit="1" customWidth="1"/>
    <col min="4" max="4" width="42.44140625" bestFit="1" customWidth="1"/>
    <col min="5" max="5" width="11.44140625" style="7"/>
    <col min="9" max="9" width="41.33203125" style="7" bestFit="1" customWidth="1"/>
    <col min="10" max="10" width="40.6640625" style="7" bestFit="1" customWidth="1"/>
    <col min="11" max="11" width="15.33203125" bestFit="1" customWidth="1"/>
    <col min="12" max="12" width="6.5546875" bestFit="1" customWidth="1"/>
    <col min="13" max="13" width="6.6640625" bestFit="1" customWidth="1"/>
    <col min="18" max="18" width="19.109375" customWidth="1"/>
  </cols>
  <sheetData>
    <row r="1" spans="1:18" x14ac:dyDescent="0.3">
      <c r="A1" s="57" t="s">
        <v>108</v>
      </c>
      <c r="B1" s="57"/>
      <c r="C1" s="57"/>
      <c r="D1" s="58"/>
      <c r="E1" s="58"/>
      <c r="F1" s="58"/>
      <c r="K1" s="29" t="s">
        <v>63</v>
      </c>
      <c r="L1" s="30">
        <v>0.375</v>
      </c>
      <c r="N1" t="s">
        <v>68</v>
      </c>
      <c r="O1" s="32">
        <v>3.4722222222222224E-2</v>
      </c>
    </row>
    <row r="2" spans="1:18" x14ac:dyDescent="0.3">
      <c r="A2" s="57"/>
      <c r="B2" s="57"/>
      <c r="C2" s="57"/>
      <c r="D2" s="58"/>
      <c r="E2" s="58"/>
      <c r="F2" s="58"/>
      <c r="K2" s="31" t="s">
        <v>43</v>
      </c>
      <c r="L2" s="4">
        <v>2</v>
      </c>
    </row>
    <row r="3" spans="1:18" x14ac:dyDescent="0.3">
      <c r="A3" s="57"/>
      <c r="B3" s="57"/>
      <c r="C3" s="57"/>
      <c r="D3" s="58"/>
      <c r="E3" s="58"/>
      <c r="F3" s="58"/>
      <c r="K3" t="s">
        <v>44</v>
      </c>
      <c r="L3" s="34">
        <v>8</v>
      </c>
    </row>
    <row r="4" spans="1:18" x14ac:dyDescent="0.3">
      <c r="A4" s="57"/>
      <c r="B4" s="57"/>
      <c r="C4" s="57"/>
      <c r="D4" s="58"/>
      <c r="E4" s="58"/>
      <c r="F4" s="58"/>
      <c r="L4" s="34">
        <v>9</v>
      </c>
    </row>
    <row r="5" spans="1:18" x14ac:dyDescent="0.3">
      <c r="A5" s="57"/>
      <c r="B5" s="57"/>
      <c r="C5" s="57"/>
      <c r="D5" s="58"/>
      <c r="E5" s="58"/>
      <c r="F5" s="58"/>
    </row>
    <row r="6" spans="1:18" x14ac:dyDescent="0.3">
      <c r="A6" s="57"/>
      <c r="B6" s="57"/>
      <c r="C6" s="57"/>
      <c r="D6" s="58"/>
      <c r="E6" s="58"/>
      <c r="F6" s="58"/>
    </row>
    <row r="7" spans="1:18" ht="61.2" x14ac:dyDescent="1.1000000000000001">
      <c r="A7" s="2"/>
      <c r="B7" s="2"/>
      <c r="C7" s="2"/>
      <c r="D7" s="3"/>
      <c r="E7" s="3"/>
      <c r="F7" s="3"/>
    </row>
    <row r="8" spans="1:18" s="7" customFormat="1" ht="22.5" customHeight="1" x14ac:dyDescent="0.35">
      <c r="A8" s="4" t="s">
        <v>1</v>
      </c>
      <c r="B8" s="4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H8" s="8" t="s">
        <v>7</v>
      </c>
      <c r="I8" s="9" t="s">
        <v>8</v>
      </c>
      <c r="J8" s="9"/>
      <c r="K8" s="4" t="s">
        <v>9</v>
      </c>
      <c r="L8" s="4" t="s">
        <v>10</v>
      </c>
      <c r="M8" s="4" t="s">
        <v>11</v>
      </c>
      <c r="N8" s="10" t="s">
        <v>12</v>
      </c>
      <c r="O8" s="10" t="s">
        <v>13</v>
      </c>
      <c r="P8"/>
      <c r="Q8" s="4" t="s">
        <v>14</v>
      </c>
      <c r="R8" s="4" t="s">
        <v>8</v>
      </c>
    </row>
    <row r="9" spans="1:18" ht="22.5" customHeight="1" x14ac:dyDescent="0.35">
      <c r="A9" s="11">
        <f>A18</f>
        <v>0.40972222222222221</v>
      </c>
      <c r="B9" s="4">
        <f>L3</f>
        <v>8</v>
      </c>
      <c r="C9" s="10" t="str">
        <f>I9</f>
        <v>ASS.DE VOLEIBOL DE L'AMETLLA DEL VALLES</v>
      </c>
      <c r="D9" s="10" t="str">
        <f>I11</f>
        <v>CV SANT CUGAT  BLMS</v>
      </c>
      <c r="E9" s="15"/>
      <c r="F9" s="16"/>
      <c r="H9" s="8">
        <f>RANK(O9,O9:O12,0)</f>
        <v>1</v>
      </c>
      <c r="I9" s="10" t="s">
        <v>73</v>
      </c>
      <c r="J9" s="10" t="s">
        <v>109</v>
      </c>
      <c r="K9" s="4">
        <f>(IF(E9&gt;F9,1,IF(E9&lt;F9,0,))+(IF(E11&gt;F11,1,IF(E11&lt;F11,0,))+(IF(E13&gt;F13,1,IF(E13&lt;F13,0,)))))</f>
        <v>0</v>
      </c>
      <c r="L9" s="4">
        <f>E9+E11+E13</f>
        <v>0</v>
      </c>
      <c r="M9" s="4">
        <f>F9+F11+F13</f>
        <v>0</v>
      </c>
      <c r="N9" s="13" t="str">
        <f>IFERROR(L9/M9,"Max")</f>
        <v>Max</v>
      </c>
      <c r="O9" s="13">
        <f>IF(N9="Max",400,(K9*100)+N9)</f>
        <v>400</v>
      </c>
      <c r="Q9" s="14">
        <v>1</v>
      </c>
      <c r="R9" s="8" t="str">
        <f>IF($K9+$K10+$K11+$K12=6,INDEX(I9:I12,MATCH($Q9,H9:H12,0)),"Pdte")</f>
        <v>Pdte</v>
      </c>
    </row>
    <row r="10" spans="1:18" ht="22.5" customHeight="1" x14ac:dyDescent="0.35">
      <c r="A10" s="11">
        <f>A9+$O$1</f>
        <v>0.44444444444444442</v>
      </c>
      <c r="B10" s="4">
        <f>L3</f>
        <v>8</v>
      </c>
      <c r="C10" s="10" t="str">
        <f>I10</f>
        <v>CV ESPLUGUES  PLOG</v>
      </c>
      <c r="D10" s="10" t="str">
        <f>I12</f>
        <v>AE VOLEI MANRESA</v>
      </c>
      <c r="E10" s="15"/>
      <c r="F10" s="16"/>
      <c r="H10" s="8">
        <f>RANK(O10,O9:O12,0)</f>
        <v>1</v>
      </c>
      <c r="I10" s="10" t="s">
        <v>110</v>
      </c>
      <c r="J10" s="10" t="s">
        <v>111</v>
      </c>
      <c r="K10" s="4">
        <f>(IF(E10&gt;F10,1,IF(E10&lt;F10,0,))+(IF(E12&gt;F12,1,IF(E12&lt;F12,0,))+(IF(F13&gt;E13,1,IF(F13&lt;E13,0,)))))</f>
        <v>0</v>
      </c>
      <c r="L10" s="4">
        <f>E10+E12+F13</f>
        <v>0</v>
      </c>
      <c r="M10" s="4">
        <f>F10+F12+E13</f>
        <v>0</v>
      </c>
      <c r="N10" s="13" t="str">
        <f>IFERROR(L10/M10,"Max")</f>
        <v>Max</v>
      </c>
      <c r="O10" s="13">
        <f>IF(N10="Max",400,(K10*100)+N10)</f>
        <v>400</v>
      </c>
      <c r="Q10" s="14">
        <v>2</v>
      </c>
      <c r="R10" s="8" t="str">
        <f>IF($K10+$K11+$K12+$K9=6,INDEX(I9:I12,MATCH($Q10,H9:H12,0)),"Pdte")</f>
        <v>Pdte</v>
      </c>
    </row>
    <row r="11" spans="1:18" ht="22.5" customHeight="1" x14ac:dyDescent="0.35">
      <c r="A11" s="11">
        <f>A10+$O$1</f>
        <v>0.47916666666666663</v>
      </c>
      <c r="B11" s="4">
        <f>L3</f>
        <v>8</v>
      </c>
      <c r="C11" s="10" t="str">
        <f>I9</f>
        <v>ASS.DE VOLEIBOL DE L'AMETLLA DEL VALLES</v>
      </c>
      <c r="D11" s="10" t="str">
        <f>I12</f>
        <v>AE VOLEI MANRESA</v>
      </c>
      <c r="E11" s="15"/>
      <c r="F11" s="16"/>
      <c r="H11" s="8">
        <f>RANK(O11,O9:O12,0)</f>
        <v>1</v>
      </c>
      <c r="I11" s="10" t="s">
        <v>112</v>
      </c>
      <c r="J11" s="10" t="s">
        <v>113</v>
      </c>
      <c r="K11" s="4">
        <f>(IF(F9&gt;E9,1,IF(F9&lt;E9,0,))+(IF(F12&gt;E12,1,IF(F12&lt;E12,0,))+(IF(E14&gt;F14,1,IF(E14&lt;F14,0,)))))</f>
        <v>0</v>
      </c>
      <c r="L11" s="4">
        <f>F9+F12+E14</f>
        <v>0</v>
      </c>
      <c r="M11" s="4">
        <f>E9+E12+F14</f>
        <v>0</v>
      </c>
      <c r="N11" s="13" t="str">
        <f>IFERROR(L11/M11,"Max")</f>
        <v>Max</v>
      </c>
      <c r="O11" s="13">
        <f>IF(N11="Max",400,(K11*100)+N11)</f>
        <v>400</v>
      </c>
      <c r="Q11" s="14">
        <v>3</v>
      </c>
      <c r="R11" s="8" t="str">
        <f>IF($K11+$K12+$K9+$K10=6,INDEX(I9:I12,MATCH($Q11,H9:H12,0)),"Pdte")</f>
        <v>Pdte</v>
      </c>
    </row>
    <row r="12" spans="1:18" ht="22.5" customHeight="1" x14ac:dyDescent="0.35">
      <c r="A12" s="11">
        <f>A11+$O$1</f>
        <v>0.51388888888888884</v>
      </c>
      <c r="B12" s="4">
        <f>L3</f>
        <v>8</v>
      </c>
      <c r="C12" s="10" t="str">
        <f>I10</f>
        <v>CV ESPLUGUES  PLOG</v>
      </c>
      <c r="D12" s="10" t="str">
        <f>I11</f>
        <v>CV SANT CUGAT  BLMS</v>
      </c>
      <c r="E12" s="15"/>
      <c r="F12" s="16"/>
      <c r="H12" s="8">
        <f>RANK(O12,O9:O12,0)</f>
        <v>1</v>
      </c>
      <c r="I12" s="10" t="s">
        <v>88</v>
      </c>
      <c r="J12" s="10" t="s">
        <v>114</v>
      </c>
      <c r="K12" s="4">
        <f>(IF(F10&gt;E10,1,IF(F10&lt;E10,0,))+(IF(F11&gt;E11,1,IF(F11&lt;E11,0,))+(IF(F14&gt;E14,1,IF(F14&lt;E14,0,)))))</f>
        <v>0</v>
      </c>
      <c r="L12" s="4">
        <f>F10+F11+F14</f>
        <v>0</v>
      </c>
      <c r="M12" s="4">
        <f>E10+E11+E14</f>
        <v>0</v>
      </c>
      <c r="N12" s="13" t="str">
        <f>IFERROR(L12/M12,"Max")</f>
        <v>Max</v>
      </c>
      <c r="O12" s="13">
        <f>IF(N12="Max",400,(K12*100)+N12)</f>
        <v>400</v>
      </c>
      <c r="Q12" s="14">
        <v>4</v>
      </c>
      <c r="R12" s="8" t="str">
        <f>IF($K9+$K10+$K11+$K12=6,INDEX(I9:I12,MATCH($Q12,H9:H12,0)),"Pdte")</f>
        <v>Pdte</v>
      </c>
    </row>
    <row r="13" spans="1:18" ht="22.5" customHeight="1" x14ac:dyDescent="0.3">
      <c r="A13" s="11">
        <f>A12+$O$1</f>
        <v>0.54861111111111105</v>
      </c>
      <c r="B13" s="4">
        <f>L3</f>
        <v>8</v>
      </c>
      <c r="C13" s="10" t="str">
        <f>I9</f>
        <v>ASS.DE VOLEIBOL DE L'AMETLLA DEL VALLES</v>
      </c>
      <c r="D13" s="10" t="str">
        <f>I10</f>
        <v>CV ESPLUGUES  PLOG</v>
      </c>
      <c r="E13" s="15"/>
      <c r="F13" s="16"/>
      <c r="I13"/>
      <c r="J13"/>
    </row>
    <row r="14" spans="1:18" ht="22.5" customHeight="1" x14ac:dyDescent="0.3">
      <c r="A14" s="11">
        <f>A13+$O$1</f>
        <v>0.58333333333333326</v>
      </c>
      <c r="B14" s="4">
        <f>L3</f>
        <v>8</v>
      </c>
      <c r="C14" s="10" t="str">
        <f>I11</f>
        <v>CV SANT CUGAT  BLMS</v>
      </c>
      <c r="D14" s="10" t="str">
        <f>I12</f>
        <v>AE VOLEI MANRESA</v>
      </c>
      <c r="E14" s="15"/>
      <c r="F14" s="16"/>
    </row>
    <row r="15" spans="1:18" ht="22.5" customHeight="1" x14ac:dyDescent="0.3"/>
    <row r="16" spans="1:18" ht="22.5" customHeight="1" x14ac:dyDescent="0.35">
      <c r="A16" s="4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H16" s="8" t="s">
        <v>7</v>
      </c>
      <c r="I16" s="17" t="s">
        <v>15</v>
      </c>
      <c r="J16" s="17"/>
      <c r="K16" s="4" t="s">
        <v>9</v>
      </c>
      <c r="L16" s="4" t="s">
        <v>10</v>
      </c>
      <c r="M16" s="4" t="s">
        <v>11</v>
      </c>
      <c r="N16" s="10" t="s">
        <v>12</v>
      </c>
      <c r="O16" s="10" t="s">
        <v>13</v>
      </c>
      <c r="Q16" s="4" t="s">
        <v>14</v>
      </c>
      <c r="R16" s="4" t="s">
        <v>15</v>
      </c>
    </row>
    <row r="17" spans="1:18" ht="22.5" customHeight="1" x14ac:dyDescent="0.35">
      <c r="A17" s="11">
        <f>L1</f>
        <v>0.375</v>
      </c>
      <c r="B17" s="4">
        <f>L4</f>
        <v>9</v>
      </c>
      <c r="C17" s="10" t="str">
        <f>I19</f>
        <v>CV SANT CUGAT  VSBG</v>
      </c>
      <c r="D17" s="10" t="str">
        <f>I20</f>
        <v xml:space="preserve">CEVOL TORREDEMBARRA </v>
      </c>
      <c r="E17" s="12"/>
      <c r="F17" s="12"/>
      <c r="H17" s="8">
        <f>RANK(O17,O$17:O$21,0)</f>
        <v>1</v>
      </c>
      <c r="I17" s="10" t="s">
        <v>115</v>
      </c>
      <c r="J17" s="10" t="s">
        <v>116</v>
      </c>
      <c r="K17" s="4">
        <f>(IF(E18&gt;F18,1,IF(E18&lt;F18,0,))+(IF(E20&gt;F20,1,IF(E20&lt;F20,0,))+(IF(E22&gt;F22,1,IF(E22&lt;F22,0,))+(IF(E25&gt;F25,1,IF(E25&lt;F25,0,))))))</f>
        <v>0</v>
      </c>
      <c r="L17" s="4">
        <f>E18+E20+E22+E25</f>
        <v>0</v>
      </c>
      <c r="M17" s="4">
        <f>F18+F20+F22+F25</f>
        <v>0</v>
      </c>
      <c r="N17" s="13" t="str">
        <f>IFERROR(L17/M17,"Max")</f>
        <v>Max</v>
      </c>
      <c r="O17" s="13">
        <f>IF(N17="Max",500,(K17*100)+N17)</f>
        <v>500</v>
      </c>
      <c r="Q17" s="14">
        <v>1</v>
      </c>
      <c r="R17" s="8" t="str">
        <f>IF($K17+$K18+$K19+$K20+K21=10,INDEX(I17:I21,MATCH($Q17,H17:H21,0)),"Pdte")</f>
        <v>Pdte</v>
      </c>
    </row>
    <row r="18" spans="1:18" ht="22.5" customHeight="1" x14ac:dyDescent="0.35">
      <c r="A18" s="11">
        <f t="shared" ref="A18:A25" si="0">A17+$O$1</f>
        <v>0.40972222222222221</v>
      </c>
      <c r="B18" s="4">
        <f>L4</f>
        <v>9</v>
      </c>
      <c r="C18" s="10" t="str">
        <f>I17</f>
        <v xml:space="preserve">CV A.V.A.P.  </v>
      </c>
      <c r="D18" s="10" t="str">
        <f>I21</f>
        <v xml:space="preserve">CLUB NATACIÓ SABADELL </v>
      </c>
      <c r="E18" s="12"/>
      <c r="F18" s="12"/>
      <c r="H18" s="8">
        <f>RANK(O18,O$17:O$21,0)</f>
        <v>1</v>
      </c>
      <c r="I18" s="10" t="s">
        <v>117</v>
      </c>
      <c r="J18" s="10" t="s">
        <v>118</v>
      </c>
      <c r="K18" s="4">
        <f>(IF(E19&gt;F19,1,IF(E19&lt;F19,0,))+(IF(E21&gt;F21,1,IF(E21&lt;F21,0,))+(IF(E23&gt;F23,1,IF(E23&lt;F23,0,))+IF(F25&gt;E25,1,IF(F25&lt;E25,0,)))))</f>
        <v>0</v>
      </c>
      <c r="L18" s="4">
        <f>E19+E21+E23+F25</f>
        <v>0</v>
      </c>
      <c r="M18" s="4">
        <f>F19+F21+F23+E25</f>
        <v>0</v>
      </c>
      <c r="N18" s="13" t="str">
        <f t="shared" ref="N18:N21" si="1">IFERROR(L18/M18,"Max")</f>
        <v>Max</v>
      </c>
      <c r="O18" s="13">
        <f t="shared" ref="O18:O21" si="2">IF(N18="Max",500,(K18*100)+N18)</f>
        <v>500</v>
      </c>
      <c r="Q18" s="14">
        <v>2</v>
      </c>
      <c r="R18" s="8" t="str">
        <f>IF($K18+$K19+$K20+$K21+K17=10,INDEX(I17:I21,MATCH($Q18,H17:H21,0)),"Pdte")</f>
        <v>Pdte</v>
      </c>
    </row>
    <row r="19" spans="1:18" ht="22.5" customHeight="1" x14ac:dyDescent="0.35">
      <c r="A19" s="11">
        <f t="shared" si="0"/>
        <v>0.44444444444444442</v>
      </c>
      <c r="B19" s="4">
        <f>L4</f>
        <v>9</v>
      </c>
      <c r="C19" s="10" t="str">
        <f>I18</f>
        <v>CV ESPLUGUES  CGSFA</v>
      </c>
      <c r="D19" s="10" t="str">
        <f>I20</f>
        <v xml:space="preserve">CEVOL TORREDEMBARRA </v>
      </c>
      <c r="E19" s="12"/>
      <c r="F19" s="12"/>
      <c r="H19" s="8">
        <f>RANK(O19,O$17:O$21,0)</f>
        <v>1</v>
      </c>
      <c r="I19" s="10" t="s">
        <v>119</v>
      </c>
      <c r="J19" s="10" t="s">
        <v>120</v>
      </c>
      <c r="K19" s="4">
        <f>(IF(E17&gt;F17,1,IF(E17&lt;F17,0,))+(IF(F20&gt;E20,1,IF(F20&lt;E20,0,))+(IF(F23&gt;E23,1,IF(F23&lt;E23,0,))+(IF(E26&gt;F26,1,IF(E26&lt;F26,0,))))))</f>
        <v>0</v>
      </c>
      <c r="L19" s="4">
        <f>F20+F23+E17+E26</f>
        <v>0</v>
      </c>
      <c r="M19" s="4">
        <f>E20+E23+F17+F26</f>
        <v>0</v>
      </c>
      <c r="N19" s="13" t="str">
        <f t="shared" si="1"/>
        <v>Max</v>
      </c>
      <c r="O19" s="13">
        <f t="shared" si="2"/>
        <v>500</v>
      </c>
      <c r="Q19" s="14">
        <v>3</v>
      </c>
      <c r="R19" s="8" t="str">
        <f>IF($K19+$K20+$K21+$K18+K17=10,INDEX(I17:I21,MATCH($Q19,H17:H21,0)),"Pdte")</f>
        <v>Pdte</v>
      </c>
    </row>
    <row r="20" spans="1:18" ht="22.5" customHeight="1" x14ac:dyDescent="0.35">
      <c r="A20" s="11">
        <f t="shared" si="0"/>
        <v>0.47916666666666663</v>
      </c>
      <c r="B20" s="4">
        <f>L4</f>
        <v>9</v>
      </c>
      <c r="C20" s="10" t="str">
        <f>I17</f>
        <v xml:space="preserve">CV A.V.A.P.  </v>
      </c>
      <c r="D20" s="10" t="str">
        <f>I19</f>
        <v>CV SANT CUGAT  VSBG</v>
      </c>
      <c r="E20" s="12"/>
      <c r="F20" s="12"/>
      <c r="H20" s="8">
        <f>RANK(O20,O$17:O$21,0)</f>
        <v>1</v>
      </c>
      <c r="I20" s="10" t="s">
        <v>121</v>
      </c>
      <c r="J20" s="10" t="s">
        <v>122</v>
      </c>
      <c r="K20" s="4">
        <f>(IF(F17&gt;E17,1,IF(F17&lt;E17,0,))+(IF(F19&gt;E19,1,IF(F19&lt;E19,0,))+(IF(F22&gt;E22,1,IF(F22&lt;E22,0,))+(IF(E24&gt;F24,1,IF(E24&lt;F24,0,))))))</f>
        <v>0</v>
      </c>
      <c r="L20" s="4">
        <f>F19+F22+F17+E24</f>
        <v>0</v>
      </c>
      <c r="M20" s="4">
        <f>E19+E22+E17+F24</f>
        <v>0</v>
      </c>
      <c r="N20" s="13" t="str">
        <f t="shared" si="1"/>
        <v>Max</v>
      </c>
      <c r="O20" s="13">
        <f t="shared" si="2"/>
        <v>500</v>
      </c>
      <c r="Q20" s="14">
        <v>4</v>
      </c>
      <c r="R20" s="8" t="str">
        <f>IF($K20+$K21+$K19+$K18+K17=10,INDEX(I17:I21,MATCH($Q20,H17:H21,0)),"Pdte")</f>
        <v>Pdte</v>
      </c>
    </row>
    <row r="21" spans="1:18" ht="22.5" customHeight="1" x14ac:dyDescent="0.35">
      <c r="A21" s="11">
        <f t="shared" si="0"/>
        <v>0.51388888888888884</v>
      </c>
      <c r="B21" s="4">
        <f>L4</f>
        <v>9</v>
      </c>
      <c r="C21" s="10" t="str">
        <f>I18</f>
        <v>CV ESPLUGUES  CGSFA</v>
      </c>
      <c r="D21" s="10" t="str">
        <f>I21</f>
        <v xml:space="preserve">CLUB NATACIÓ SABADELL </v>
      </c>
      <c r="E21" s="12"/>
      <c r="F21" s="12"/>
      <c r="H21" s="8">
        <f>RANK(O21,O$17:O$21,0)</f>
        <v>1</v>
      </c>
      <c r="I21" s="10" t="s">
        <v>123</v>
      </c>
      <c r="J21" s="10" t="s">
        <v>124</v>
      </c>
      <c r="K21" s="4">
        <f>(IF(F18&gt;E18,1,IF(F18&lt;E18,0,))+(IF(F21&gt;E21,1,IF(F21&lt;E21,0,))+(IF(F24&gt;E24,1,IF(F24&lt;E24,0,))+(IF(F26&gt;E26,1,IF(F26&lt;E26,0,))))))</f>
        <v>0</v>
      </c>
      <c r="L21" s="4">
        <f>F18+F21+F24+F26</f>
        <v>0</v>
      </c>
      <c r="M21" s="4">
        <f>E18+E21+E24+E26</f>
        <v>0</v>
      </c>
      <c r="N21" s="13" t="str">
        <f t="shared" si="1"/>
        <v>Max</v>
      </c>
      <c r="O21" s="13">
        <f t="shared" si="2"/>
        <v>500</v>
      </c>
      <c r="Q21" s="14">
        <v>5</v>
      </c>
      <c r="R21" s="8" t="str">
        <f>IF($K21+$K20+$K19+$K18+K17=10,INDEX(I17:I21,MATCH($Q21,H17:H21,0)),"Pdte")</f>
        <v>Pdte</v>
      </c>
    </row>
    <row r="22" spans="1:18" ht="22.5" customHeight="1" x14ac:dyDescent="0.3">
      <c r="A22" s="11">
        <f t="shared" si="0"/>
        <v>0.54861111111111105</v>
      </c>
      <c r="B22" s="4">
        <f>L4</f>
        <v>9</v>
      </c>
      <c r="C22" s="10" t="str">
        <f>I17</f>
        <v xml:space="preserve">CV A.V.A.P.  </v>
      </c>
      <c r="D22" s="10" t="str">
        <f>I20</f>
        <v xml:space="preserve">CEVOL TORREDEMBARRA </v>
      </c>
      <c r="E22" s="12"/>
      <c r="F22" s="12"/>
    </row>
    <row r="23" spans="1:18" ht="22.5" customHeight="1" x14ac:dyDescent="0.3">
      <c r="A23" s="11">
        <f t="shared" si="0"/>
        <v>0.58333333333333326</v>
      </c>
      <c r="B23" s="4">
        <f>L4</f>
        <v>9</v>
      </c>
      <c r="C23" s="10" t="str">
        <f>I18</f>
        <v>CV ESPLUGUES  CGSFA</v>
      </c>
      <c r="D23" s="10" t="str">
        <f>I19</f>
        <v>CV SANT CUGAT  VSBG</v>
      </c>
      <c r="E23" s="12"/>
      <c r="F23" s="12"/>
    </row>
    <row r="24" spans="1:18" ht="22.5" customHeight="1" x14ac:dyDescent="0.3">
      <c r="A24" s="11">
        <f t="shared" si="0"/>
        <v>0.61805555555555547</v>
      </c>
      <c r="B24" s="4">
        <f>L4</f>
        <v>9</v>
      </c>
      <c r="C24" s="10" t="str">
        <f>I20</f>
        <v xml:space="preserve">CEVOL TORREDEMBARRA </v>
      </c>
      <c r="D24" s="10" t="str">
        <f>I21</f>
        <v xml:space="preserve">CLUB NATACIÓ SABADELL </v>
      </c>
      <c r="E24" s="12"/>
      <c r="F24" s="12"/>
    </row>
    <row r="25" spans="1:18" ht="22.5" customHeight="1" x14ac:dyDescent="0.3">
      <c r="A25" s="11">
        <f t="shared" si="0"/>
        <v>0.65277777777777768</v>
      </c>
      <c r="B25" s="4">
        <f>L4</f>
        <v>9</v>
      </c>
      <c r="C25" s="10" t="str">
        <f>I17</f>
        <v xml:space="preserve">CV A.V.A.P.  </v>
      </c>
      <c r="D25" s="10" t="str">
        <f>I18</f>
        <v>CV ESPLUGUES  CGSFA</v>
      </c>
      <c r="E25" s="12"/>
      <c r="F25" s="12"/>
    </row>
    <row r="26" spans="1:18" ht="22.5" customHeight="1" x14ac:dyDescent="0.3">
      <c r="A26" s="11">
        <f>A24+$O$1</f>
        <v>0.65277777777777768</v>
      </c>
      <c r="B26" s="4">
        <f>B14</f>
        <v>8</v>
      </c>
      <c r="C26" s="10" t="str">
        <f>I19</f>
        <v>CV SANT CUGAT  VSBG</v>
      </c>
      <c r="D26" s="10" t="str">
        <f>I21</f>
        <v xml:space="preserve">CLUB NATACIÓ SABADELL </v>
      </c>
      <c r="E26" s="12"/>
      <c r="F26" s="12"/>
      <c r="H26" s="35"/>
      <c r="L26" s="35"/>
    </row>
    <row r="27" spans="1:18" ht="21.75" customHeight="1" x14ac:dyDescent="0.3"/>
    <row r="28" spans="1:18" ht="21.75" customHeight="1" x14ac:dyDescent="0.3">
      <c r="A28" s="10" t="s">
        <v>19</v>
      </c>
      <c r="B28" s="17"/>
      <c r="C28" s="7"/>
      <c r="D28" s="7"/>
      <c r="F28" s="7"/>
    </row>
    <row r="29" spans="1:18" ht="21.75" customHeight="1" x14ac:dyDescent="0.3">
      <c r="A29" s="4" t="s">
        <v>1</v>
      </c>
      <c r="B29" s="4" t="s">
        <v>2</v>
      </c>
      <c r="C29" s="10" t="s">
        <v>3</v>
      </c>
      <c r="D29" s="10" t="s">
        <v>4</v>
      </c>
      <c r="E29" s="10" t="s">
        <v>6</v>
      </c>
      <c r="F29" s="10" t="s">
        <v>6</v>
      </c>
    </row>
    <row r="30" spans="1:18" ht="21.75" customHeight="1" x14ac:dyDescent="0.3">
      <c r="A30" s="17"/>
      <c r="B30" s="17"/>
      <c r="C30" s="7"/>
      <c r="D30" s="7"/>
      <c r="F30" s="7"/>
    </row>
    <row r="31" spans="1:18" ht="21.75" customHeight="1" x14ac:dyDescent="0.3">
      <c r="A31" s="17"/>
      <c r="B31" s="17" t="s">
        <v>34</v>
      </c>
      <c r="C31" s="10" t="s">
        <v>21</v>
      </c>
      <c r="D31" s="10" t="s">
        <v>23</v>
      </c>
      <c r="F31" s="7"/>
    </row>
    <row r="32" spans="1:18" ht="21.75" customHeight="1" x14ac:dyDescent="0.3">
      <c r="A32" s="11">
        <f>A26+1.5*$O$1</f>
        <v>0.70486111111111105</v>
      </c>
      <c r="B32" s="4">
        <f>L3</f>
        <v>8</v>
      </c>
      <c r="C32" s="10" t="str">
        <f>IF(R9="Pdte"," ",R9)</f>
        <v xml:space="preserve"> </v>
      </c>
      <c r="D32" s="10" t="str">
        <f>IF(R18="Pdte"," ",R18)</f>
        <v xml:space="preserve"> </v>
      </c>
      <c r="E32" s="15"/>
      <c r="F32" s="16"/>
    </row>
    <row r="33" spans="1:6" ht="21.75" customHeight="1" x14ac:dyDescent="0.3">
      <c r="A33" s="17"/>
      <c r="B33" s="17"/>
      <c r="C33" s="7"/>
      <c r="D33" s="7"/>
      <c r="F33" s="7"/>
    </row>
    <row r="34" spans="1:6" ht="21.75" customHeight="1" x14ac:dyDescent="0.3">
      <c r="A34" s="17"/>
      <c r="B34" s="17" t="s">
        <v>36</v>
      </c>
      <c r="C34" s="10" t="s">
        <v>28</v>
      </c>
      <c r="D34" s="10" t="s">
        <v>30</v>
      </c>
      <c r="F34" s="7"/>
    </row>
    <row r="35" spans="1:6" ht="21.75" customHeight="1" x14ac:dyDescent="0.3">
      <c r="A35" s="42">
        <f>A26+1.5*$O$1</f>
        <v>0.70486111111111105</v>
      </c>
      <c r="B35" s="4">
        <f>L4</f>
        <v>9</v>
      </c>
      <c r="C35" s="10" t="str">
        <f>IF(R17="Pdte"," ",R17)</f>
        <v xml:space="preserve"> </v>
      </c>
      <c r="D35" s="10" t="str">
        <f>IF(R10="Pdte"," ",R10)</f>
        <v xml:space="preserve"> </v>
      </c>
      <c r="E35" s="15"/>
      <c r="F35" s="16"/>
    </row>
    <row r="36" spans="1:6" ht="21.75" customHeight="1" x14ac:dyDescent="0.3">
      <c r="A36" s="17"/>
      <c r="B36" s="17"/>
      <c r="C36" s="7"/>
      <c r="D36" s="7"/>
      <c r="F36" s="7"/>
    </row>
    <row r="37" spans="1:6" ht="21.75" customHeight="1" x14ac:dyDescent="0.3">
      <c r="A37" s="17"/>
      <c r="B37" s="17" t="s">
        <v>38</v>
      </c>
      <c r="C37" s="10" t="s">
        <v>39</v>
      </c>
      <c r="D37" s="10" t="s">
        <v>40</v>
      </c>
      <c r="F37" s="7"/>
    </row>
    <row r="38" spans="1:6" ht="21.75" customHeight="1" x14ac:dyDescent="0.3">
      <c r="A38" s="47">
        <f>A35+0.0175</f>
        <v>0.72236111111111101</v>
      </c>
      <c r="B38" s="4">
        <f>L3</f>
        <v>8</v>
      </c>
      <c r="C38" s="10" t="str">
        <f>IF(E32&gt;F32,C32,IF(E32&lt;F32,D32," "))</f>
        <v xml:space="preserve"> </v>
      </c>
      <c r="D38" s="10" t="str">
        <f>IF(E35&gt;F35,C35,IF(E35&lt;F35,D35," "))</f>
        <v xml:space="preserve"> </v>
      </c>
      <c r="E38" s="15"/>
      <c r="F38" s="16"/>
    </row>
  </sheetData>
  <mergeCells count="1">
    <mergeCell ref="A1:F6"/>
  </mergeCells>
  <conditionalFormatting sqref="R17">
    <cfRule type="duplicateValues" dxfId="2" priority="3"/>
  </conditionalFormatting>
  <conditionalFormatting sqref="R18:R21">
    <cfRule type="duplicateValues" dxfId="1" priority="2"/>
  </conditionalFormatting>
  <conditionalFormatting sqref="R9:R12">
    <cfRule type="duplicateValues" dxfId="0" priority="1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Q16" sqref="Q16"/>
    </sheetView>
  </sheetViews>
  <sheetFormatPr baseColWidth="10" defaultColWidth="11.44140625" defaultRowHeight="14.4" x14ac:dyDescent="0.3"/>
  <cols>
    <col min="1" max="1" width="9.6640625" bestFit="1" customWidth="1"/>
    <col min="2" max="2" width="5.33203125" bestFit="1" customWidth="1"/>
    <col min="3" max="4" width="46.5546875" bestFit="1" customWidth="1"/>
    <col min="5" max="5" width="11.44140625" style="7"/>
    <col min="9" max="9" width="46.5546875" style="7" bestFit="1" customWidth="1"/>
    <col min="10" max="10" width="15.33203125" bestFit="1" customWidth="1"/>
    <col min="11" max="11" width="6.5546875" bestFit="1" customWidth="1"/>
    <col min="12" max="12" width="6.6640625" bestFit="1" customWidth="1"/>
    <col min="13" max="13" width="15.88671875" bestFit="1" customWidth="1"/>
    <col min="16" max="16" width="10" bestFit="1" customWidth="1"/>
    <col min="17" max="17" width="27.44140625" customWidth="1"/>
  </cols>
  <sheetData>
    <row r="1" spans="1:17" x14ac:dyDescent="0.3">
      <c r="A1" s="57" t="s">
        <v>67</v>
      </c>
      <c r="B1" s="57"/>
      <c r="C1" s="57"/>
      <c r="D1" s="58"/>
      <c r="E1" s="58"/>
      <c r="F1" s="58"/>
      <c r="J1" s="29" t="s">
        <v>63</v>
      </c>
      <c r="K1" s="30">
        <v>0.375</v>
      </c>
      <c r="M1" t="s">
        <v>68</v>
      </c>
      <c r="N1" s="32">
        <v>3.4722222222222224E-2</v>
      </c>
    </row>
    <row r="2" spans="1:17" x14ac:dyDescent="0.3">
      <c r="A2" s="57"/>
      <c r="B2" s="57"/>
      <c r="C2" s="57"/>
      <c r="D2" s="58"/>
      <c r="E2" s="58"/>
      <c r="F2" s="58"/>
      <c r="J2" s="31" t="s">
        <v>43</v>
      </c>
      <c r="K2" s="4">
        <v>1</v>
      </c>
    </row>
    <row r="3" spans="1:17" x14ac:dyDescent="0.3">
      <c r="A3" s="57"/>
      <c r="B3" s="57"/>
      <c r="C3" s="57"/>
      <c r="D3" s="58"/>
      <c r="E3" s="58"/>
      <c r="F3" s="58"/>
      <c r="J3" t="s">
        <v>44</v>
      </c>
      <c r="K3" s="34">
        <v>3</v>
      </c>
    </row>
    <row r="4" spans="1:17" x14ac:dyDescent="0.3">
      <c r="A4" s="57"/>
      <c r="B4" s="57"/>
      <c r="C4" s="57"/>
      <c r="D4" s="58"/>
      <c r="E4" s="58"/>
      <c r="F4" s="58"/>
    </row>
    <row r="5" spans="1:17" x14ac:dyDescent="0.3">
      <c r="A5" s="57"/>
      <c r="B5" s="57"/>
      <c r="C5" s="57"/>
      <c r="D5" s="58"/>
      <c r="E5" s="58"/>
      <c r="F5" s="58"/>
    </row>
    <row r="6" spans="1:17" x14ac:dyDescent="0.3">
      <c r="A6" s="57"/>
      <c r="B6" s="57"/>
      <c r="C6" s="57"/>
      <c r="D6" s="58"/>
      <c r="E6" s="58"/>
      <c r="F6" s="58"/>
    </row>
    <row r="7" spans="1:17" ht="61.2" x14ac:dyDescent="1.1000000000000001">
      <c r="A7" s="2"/>
      <c r="B7" s="2"/>
      <c r="C7" s="2"/>
      <c r="D7" s="3"/>
      <c r="E7" s="3"/>
      <c r="F7" s="3"/>
    </row>
    <row r="8" spans="1:17" ht="21.75" customHeight="1" x14ac:dyDescent="0.3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H8" s="8" t="s">
        <v>7</v>
      </c>
      <c r="I8" s="17" t="s">
        <v>8</v>
      </c>
      <c r="J8" s="4" t="s">
        <v>9</v>
      </c>
      <c r="K8" s="4" t="s">
        <v>10</v>
      </c>
      <c r="L8" s="4" t="s">
        <v>11</v>
      </c>
      <c r="M8" s="10" t="s">
        <v>12</v>
      </c>
      <c r="N8" s="10" t="s">
        <v>13</v>
      </c>
      <c r="P8" s="4" t="s">
        <v>14</v>
      </c>
      <c r="Q8" s="4" t="s">
        <v>8</v>
      </c>
    </row>
    <row r="9" spans="1:17" ht="22.5" customHeight="1" x14ac:dyDescent="0.35">
      <c r="A9" s="11">
        <f>K1</f>
        <v>0.375</v>
      </c>
      <c r="B9" s="4">
        <f>K3</f>
        <v>3</v>
      </c>
      <c r="C9" s="10" t="str">
        <f>I11</f>
        <v>BEACH VOLLEY GARRAF</v>
      </c>
      <c r="D9" s="10" t="str">
        <f>I12</f>
        <v xml:space="preserve">CEVOL TORREDEMBARRA </v>
      </c>
      <c r="E9" s="12"/>
      <c r="F9" s="12"/>
      <c r="H9" s="8">
        <f>RANK(N9,N$9:N$13,0)</f>
        <v>1</v>
      </c>
      <c r="I9" s="10" t="s">
        <v>71</v>
      </c>
      <c r="J9" s="4">
        <f>(IF(E10&gt;F10,1,IF(E10&lt;F10,0,))+(IF(E12&gt;F12,1,IF(E12&lt;F12,0,))+(IF(E14&gt;F14,1,IF(E14&lt;F14,0,))+(IF(E17&gt;F17,1,IF(E17&lt;F17,0,))))))</f>
        <v>0</v>
      </c>
      <c r="K9" s="4">
        <f>E10+E12+E14+E17</f>
        <v>0</v>
      </c>
      <c r="L9" s="4">
        <f>F10+F12+F14+F17</f>
        <v>0</v>
      </c>
      <c r="M9" s="13" t="str">
        <f>IFERROR(K9/L9,"Max")</f>
        <v>Max</v>
      </c>
      <c r="N9" s="13">
        <f>IF(M9="Max",500,(J9*100)+M9)</f>
        <v>500</v>
      </c>
      <c r="P9" s="14">
        <v>1</v>
      </c>
      <c r="Q9" s="8" t="str">
        <f>IF($J9+$J10+$J11+$J12+J13=10,INDEX(I9:I13,MATCH($P9,H9:H13,0)),"Pdte")</f>
        <v>Pdte</v>
      </c>
    </row>
    <row r="10" spans="1:17" ht="22.5" customHeight="1" x14ac:dyDescent="0.35">
      <c r="A10" s="11">
        <f>A9+$N$1</f>
        <v>0.40972222222222221</v>
      </c>
      <c r="B10" s="4">
        <f>K3</f>
        <v>3</v>
      </c>
      <c r="C10" s="10" t="str">
        <f>I9</f>
        <v>beach club esportiu el pendulo</v>
      </c>
      <c r="D10" s="10" t="str">
        <f>I13</f>
        <v>CV ARENYS</v>
      </c>
      <c r="E10" s="12"/>
      <c r="F10" s="12"/>
      <c r="H10" s="8">
        <f>RANK(N10,N$9:N$13,0)</f>
        <v>1</v>
      </c>
      <c r="I10" s="10" t="s">
        <v>73</v>
      </c>
      <c r="J10" s="4">
        <f>(IF(E11&gt;F11,1,IF(E11&lt;F11,0,))+(IF(E13&gt;F13,1,IF(E13&lt;F13,0,))+(IF(E15&gt;F15,1,IF(E15&lt;F15,0,))+IF(F17&gt;E17,1,IF(F17&lt;E17,0,)))))</f>
        <v>0</v>
      </c>
      <c r="K10" s="4">
        <f>E11+E13+E15+F17</f>
        <v>0</v>
      </c>
      <c r="L10" s="4">
        <f>F11+F13+F15+E17</f>
        <v>0</v>
      </c>
      <c r="M10" s="13" t="str">
        <f t="shared" ref="M10:M13" si="0">IFERROR(K10/L10,"Max")</f>
        <v>Max</v>
      </c>
      <c r="N10" s="13">
        <f t="shared" ref="N10:N12" si="1">IF(M10="Max",500,(J10*100)+M10)</f>
        <v>500</v>
      </c>
      <c r="P10" s="14">
        <v>2</v>
      </c>
      <c r="Q10" s="8" t="str">
        <f>IF($J10+$J11+$J12+$J13+J9=10,INDEX(I9:I13,MATCH($P10,H9:H13,0)),"Pdte")</f>
        <v>Pdte</v>
      </c>
    </row>
    <row r="11" spans="1:17" ht="22.5" customHeight="1" x14ac:dyDescent="0.35">
      <c r="A11" s="11">
        <f>A10+$N$1</f>
        <v>0.44444444444444442</v>
      </c>
      <c r="B11" s="4">
        <f>K3</f>
        <v>3</v>
      </c>
      <c r="C11" s="10" t="str">
        <f>I10</f>
        <v>ASS.DE VOLEIBOL DE L'AMETLLA DEL VALLES</v>
      </c>
      <c r="D11" s="10" t="str">
        <f>I12</f>
        <v xml:space="preserve">CEVOL TORREDEMBARRA </v>
      </c>
      <c r="E11" s="12"/>
      <c r="F11" s="12"/>
      <c r="H11" s="8">
        <f>RANK(N11,N$9:N$13,0)</f>
        <v>1</v>
      </c>
      <c r="I11" s="10" t="s">
        <v>125</v>
      </c>
      <c r="J11" s="4">
        <f>(IF(E9&gt;F9,1,IF(E9&lt;F9,0,))+(IF(F12&gt;E12,1,IF(F12&lt;E12,0,))+(IF(F15&gt;E15,1,IF(F15&lt;E15,0,))+(IF(E18&gt;F18,1,IF(E18&lt;F18,0,))))))</f>
        <v>0</v>
      </c>
      <c r="K11" s="4">
        <f>F12+F15+E9+E18</f>
        <v>0</v>
      </c>
      <c r="L11" s="4">
        <f>E12+E15+F9+F18</f>
        <v>0</v>
      </c>
      <c r="M11" s="13" t="str">
        <f t="shared" si="0"/>
        <v>Max</v>
      </c>
      <c r="N11" s="13">
        <f t="shared" si="1"/>
        <v>500</v>
      </c>
      <c r="P11" s="14">
        <v>3</v>
      </c>
      <c r="Q11" s="8" t="str">
        <f>IF($J11+$J12+$J13+$J10+J9=10,INDEX(I9:I13,MATCH($P11,H9:H13,0)),"Pdte")</f>
        <v>Pdte</v>
      </c>
    </row>
    <row r="12" spans="1:17" ht="22.5" customHeight="1" x14ac:dyDescent="0.35">
      <c r="A12" s="11">
        <f>A11+$N$1</f>
        <v>0.47916666666666663</v>
      </c>
      <c r="B12" s="4">
        <f>K3</f>
        <v>3</v>
      </c>
      <c r="C12" s="10" t="str">
        <f>I9</f>
        <v>beach club esportiu el pendulo</v>
      </c>
      <c r="D12" s="10" t="str">
        <f>I11</f>
        <v>BEACH VOLLEY GARRAF</v>
      </c>
      <c r="E12" s="12"/>
      <c r="F12" s="12"/>
      <c r="H12" s="8">
        <f>RANK(N12,N$9:N$13,0)</f>
        <v>1</v>
      </c>
      <c r="I12" s="10" t="s">
        <v>121</v>
      </c>
      <c r="J12" s="4">
        <f>(IF(F9&gt;E9,1,IF(F9&lt;E9,0,))+(IF(F11&gt;E11,1,IF(F11&lt;E11,0,))+(IF(F14&gt;E14,1,IF(F14&lt;E14,0,))+(IF(E16&gt;F16,1,IF(E16&lt;F16,0,))))))</f>
        <v>0</v>
      </c>
      <c r="K12" s="4">
        <f>F11+F14+F9+E16</f>
        <v>0</v>
      </c>
      <c r="L12" s="4">
        <f>E11+E14+E9+F16</f>
        <v>0</v>
      </c>
      <c r="M12" s="13" t="str">
        <f t="shared" si="0"/>
        <v>Max</v>
      </c>
      <c r="N12" s="13">
        <f t="shared" si="1"/>
        <v>500</v>
      </c>
      <c r="P12" s="14">
        <v>4</v>
      </c>
      <c r="Q12" s="8" t="str">
        <f>IF($J12+$J13+$J11+$J10+J9=10,INDEX(I9:I13,MATCH($P12,H9:H13,0)),"Pdte")</f>
        <v>Pdte</v>
      </c>
    </row>
    <row r="13" spans="1:17" ht="22.5" customHeight="1" x14ac:dyDescent="0.35">
      <c r="A13" s="11">
        <f>A12+$N$1</f>
        <v>0.51388888888888884</v>
      </c>
      <c r="B13" s="4">
        <f>K3</f>
        <v>3</v>
      </c>
      <c r="C13" s="10" t="str">
        <f>I10</f>
        <v>ASS.DE VOLEIBOL DE L'AMETLLA DEL VALLES</v>
      </c>
      <c r="D13" s="10" t="str">
        <f>I13</f>
        <v>CV ARENYS</v>
      </c>
      <c r="E13" s="12"/>
      <c r="F13" s="12"/>
      <c r="H13" s="8">
        <f>RANK(N13,N$9:N$13,0)</f>
        <v>1</v>
      </c>
      <c r="I13" s="10" t="s">
        <v>126</v>
      </c>
      <c r="J13" s="4">
        <f>(IF(F10&gt;E10,1,IF(F10&lt;E10,0,))+(IF(F13&gt;E13,1,IF(F13&lt;E13,0,))+(IF(F16&gt;E16,1,IF(F16&lt;E16,0,))+(IF(F18&gt;E18,1,IF(F18&lt;E18,0,))))))</f>
        <v>0</v>
      </c>
      <c r="K13" s="4">
        <f>F10+F13+F16+F18</f>
        <v>0</v>
      </c>
      <c r="L13" s="4">
        <f>E10+E13+E16+E18</f>
        <v>0</v>
      </c>
      <c r="M13" s="13" t="str">
        <f t="shared" si="0"/>
        <v>Max</v>
      </c>
      <c r="N13" s="13">
        <f>IF(M13="Max",500,(J13*100)+M13)</f>
        <v>500</v>
      </c>
      <c r="P13" s="14">
        <v>5</v>
      </c>
      <c r="Q13" s="8" t="str">
        <f>IF($J13+$J12+$J11+$J10+J9=10,INDEX(I9:I13,MATCH($P13,H9:H13,0)),"Pdte")</f>
        <v>Pdte</v>
      </c>
    </row>
    <row r="14" spans="1:17" ht="22.5" customHeight="1" x14ac:dyDescent="0.3">
      <c r="A14" s="11">
        <f>A13+$N$1</f>
        <v>0.54861111111111105</v>
      </c>
      <c r="B14" s="4">
        <f>K3</f>
        <v>3</v>
      </c>
      <c r="C14" s="10" t="str">
        <f>I9</f>
        <v>beach club esportiu el pendulo</v>
      </c>
      <c r="D14" s="10" t="str">
        <f>I12</f>
        <v xml:space="preserve">CEVOL TORREDEMBARRA </v>
      </c>
      <c r="E14" s="12"/>
      <c r="F14" s="12"/>
    </row>
    <row r="15" spans="1:17" ht="22.5" customHeight="1" x14ac:dyDescent="0.3">
      <c r="A15" s="11">
        <f>A14+2.5*$N$1</f>
        <v>0.63541666666666663</v>
      </c>
      <c r="B15" s="4">
        <f>K3</f>
        <v>3</v>
      </c>
      <c r="C15" s="10" t="str">
        <f>I10</f>
        <v>ASS.DE VOLEIBOL DE L'AMETLLA DEL VALLES</v>
      </c>
      <c r="D15" s="10" t="str">
        <f>I11</f>
        <v>BEACH VOLLEY GARRAF</v>
      </c>
      <c r="E15" s="12"/>
      <c r="F15" s="12"/>
    </row>
    <row r="16" spans="1:17" ht="22.5" customHeight="1" x14ac:dyDescent="0.3">
      <c r="A16" s="11">
        <f>A15+$N$1</f>
        <v>0.67013888888888884</v>
      </c>
      <c r="B16" s="4">
        <f>K3</f>
        <v>3</v>
      </c>
      <c r="C16" s="10" t="str">
        <f>I12</f>
        <v xml:space="preserve">CEVOL TORREDEMBARRA </v>
      </c>
      <c r="D16" s="10" t="str">
        <f>I13</f>
        <v>CV ARENYS</v>
      </c>
      <c r="E16" s="12"/>
      <c r="F16" s="12"/>
    </row>
    <row r="17" spans="1:11" ht="22.5" customHeight="1" x14ac:dyDescent="0.3">
      <c r="A17" s="11">
        <f>A16+$N$1</f>
        <v>0.70486111111111105</v>
      </c>
      <c r="B17" s="4">
        <f>K3</f>
        <v>3</v>
      </c>
      <c r="C17" s="10" t="str">
        <f>I9</f>
        <v>beach club esportiu el pendulo</v>
      </c>
      <c r="D17" s="10" t="str">
        <f>I10</f>
        <v>ASS.DE VOLEIBOL DE L'AMETLLA DEL VALLES</v>
      </c>
      <c r="E17" s="12"/>
      <c r="F17" s="12"/>
    </row>
    <row r="18" spans="1:11" ht="22.5" customHeight="1" x14ac:dyDescent="0.3">
      <c r="A18" s="11">
        <f>A17+$N$1</f>
        <v>0.73958333333333326</v>
      </c>
      <c r="B18" s="4">
        <f>K3</f>
        <v>3</v>
      </c>
      <c r="C18" s="10" t="str">
        <f>I11</f>
        <v>BEACH VOLLEY GARRAF</v>
      </c>
      <c r="D18" s="10" t="str">
        <f>I13</f>
        <v>CV ARENYS</v>
      </c>
      <c r="E18" s="12"/>
      <c r="F18" s="12"/>
      <c r="H18" s="35"/>
      <c r="K18" s="35"/>
    </row>
    <row r="19" spans="1:11" ht="21.75" customHeight="1" x14ac:dyDescent="0.3"/>
    <row r="20" spans="1:11" ht="21.75" customHeight="1" x14ac:dyDescent="0.3">
      <c r="A20" s="17"/>
      <c r="B20" s="17" t="s">
        <v>38</v>
      </c>
      <c r="C20" s="10" t="s">
        <v>21</v>
      </c>
      <c r="D20" s="10" t="s">
        <v>30</v>
      </c>
      <c r="F20" s="7"/>
    </row>
    <row r="21" spans="1:11" ht="21.75" customHeight="1" x14ac:dyDescent="0.3">
      <c r="A21" s="42">
        <f>A18+$N$1</f>
        <v>0.77430555555555547</v>
      </c>
      <c r="B21" s="4">
        <f>K3</f>
        <v>3</v>
      </c>
      <c r="C21" s="10" t="str">
        <f>IF(Q9="Pdte"," ",Q9)</f>
        <v xml:space="preserve"> </v>
      </c>
      <c r="D21" s="10" t="str">
        <f>IF(Q10="Pdte"," ",Q10)</f>
        <v xml:space="preserve"> </v>
      </c>
      <c r="E21" s="15"/>
      <c r="F21" s="16"/>
    </row>
  </sheetData>
  <mergeCells count="1">
    <mergeCell ref="A1:F6"/>
  </mergeCells>
  <conditionalFormatting sqref="Q9">
    <cfRule type="duplicateValues" dxfId="14" priority="2"/>
  </conditionalFormatting>
  <conditionalFormatting sqref="Q10:Q13">
    <cfRule type="duplicateValues" dxfId="13" priority="1"/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32bccbf-364a-4aed-91b1-0523cb563d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6B9662FACFB44795CD38E22AA1C164" ma:contentTypeVersion="16" ma:contentTypeDescription="Crear nuevo documento." ma:contentTypeScope="" ma:versionID="3355816d459519f49044297256cfeb0c">
  <xsd:schema xmlns:xsd="http://www.w3.org/2001/XMLSchema" xmlns:xs="http://www.w3.org/2001/XMLSchema" xmlns:p="http://schemas.microsoft.com/office/2006/metadata/properties" xmlns:ns3="2feb3fa4-7f11-4806-9ec3-c839cb2d87a3" xmlns:ns4="432bccbf-364a-4aed-91b1-0523cb563def" targetNamespace="http://schemas.microsoft.com/office/2006/metadata/properties" ma:root="true" ma:fieldsID="f42a7f805cd06ae9bf7f708248709434" ns3:_="" ns4:_="">
    <xsd:import namespace="2feb3fa4-7f11-4806-9ec3-c839cb2d87a3"/>
    <xsd:import namespace="432bccbf-364a-4aed-91b1-0523cb563d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3fa4-7f11-4806-9ec3-c839cb2d8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2bccbf-364a-4aed-91b1-0523cb563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094475-57D5-4888-B484-B8957ED8B31B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feb3fa4-7f11-4806-9ec3-c839cb2d87a3"/>
    <ds:schemaRef ds:uri="432bccbf-364a-4aed-91b1-0523cb563def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6CD8E9-08A1-432E-A2A0-6718677D0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B7F77F-81D4-403E-ADBE-7BCB062F4C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b3fa4-7f11-4806-9ec3-c839cb2d87a3"/>
    <ds:schemaRef ds:uri="432bccbf-364a-4aed-91b1-0523cb563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Sub 21 Fem</vt:lpstr>
      <vt:lpstr>Sub 21 Masc</vt:lpstr>
      <vt:lpstr>Cad Fem</vt:lpstr>
      <vt:lpstr>Cad Masc</vt:lpstr>
      <vt:lpstr>Inf Fem</vt:lpstr>
      <vt:lpstr>Inf Masc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Volei Platja</dc:creator>
  <cp:lastModifiedBy>Sergio Gracia</cp:lastModifiedBy>
  <dcterms:created xsi:type="dcterms:W3CDTF">2024-06-06T20:35:48Z</dcterms:created>
  <dcterms:modified xsi:type="dcterms:W3CDTF">2024-06-09T06:25:58Z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0x010100486B9662FACFB44795CD38E22AA1C164</vt:lpwstr>
  </property>
</Properties>
</file>