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 activeTab="3"/>
  </bookViews>
  <sheets>
    <sheet name="Entrada" sheetId="7" r:id="rId1"/>
    <sheet name="Sots 15 Masc" sheetId="10" r:id="rId2"/>
    <sheet name="Sots 17-19-21" sheetId="13" r:id="rId3"/>
    <sheet name="Menors Femenina" sheetId="11" r:id="rId4"/>
  </sheets>
  <definedNames>
    <definedName name="_xlnm._FilterDatabase" localSheetId="0" hidden="1">Entrada!$A$6:$I$6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11" l="1"/>
  <c r="D64" i="11"/>
  <c r="J64" i="11"/>
  <c r="C64" i="11"/>
  <c r="J63" i="11"/>
  <c r="C63" i="11"/>
  <c r="J58" i="11"/>
  <c r="D56" i="11"/>
  <c r="J57" i="11"/>
  <c r="C57" i="11"/>
  <c r="J56" i="11"/>
  <c r="C56" i="11"/>
  <c r="K56" i="11"/>
  <c r="E65" i="11"/>
  <c r="D63" i="11"/>
  <c r="D57" i="11"/>
  <c r="D65" i="11"/>
  <c r="E63" i="11"/>
  <c r="E64" i="11"/>
  <c r="C65" i="11"/>
  <c r="E58" i="11"/>
  <c r="E56" i="11"/>
  <c r="D58" i="11"/>
  <c r="E57" i="11"/>
  <c r="C58" i="11"/>
  <c r="M65" i="11"/>
  <c r="L65" i="11"/>
  <c r="K65" i="11"/>
  <c r="M64" i="11"/>
  <c r="L64" i="11"/>
  <c r="N64" i="11" s="1"/>
  <c r="O64" i="11" s="1"/>
  <c r="K64" i="11"/>
  <c r="R64" i="11" s="1"/>
  <c r="M63" i="11"/>
  <c r="L63" i="11"/>
  <c r="K63" i="11"/>
  <c r="R63" i="11" s="1"/>
  <c r="M58" i="11"/>
  <c r="M57" i="11"/>
  <c r="M56" i="11"/>
  <c r="L58" i="11"/>
  <c r="L57" i="11"/>
  <c r="L56" i="11"/>
  <c r="K58" i="11"/>
  <c r="K57" i="11"/>
  <c r="N58" i="11"/>
  <c r="O58" i="11" s="1"/>
  <c r="N56" i="11"/>
  <c r="O56" i="11" s="1"/>
  <c r="E42" i="13"/>
  <c r="D42" i="13"/>
  <c r="C42" i="13"/>
  <c r="E39" i="13"/>
  <c r="E30" i="13"/>
  <c r="D30" i="13"/>
  <c r="C30" i="13"/>
  <c r="E29" i="13"/>
  <c r="D29" i="13"/>
  <c r="C29" i="13"/>
  <c r="E28" i="13"/>
  <c r="D28" i="13"/>
  <c r="C28" i="13"/>
  <c r="M27" i="13"/>
  <c r="L27" i="13"/>
  <c r="N27" i="13" s="1"/>
  <c r="O27" i="13" s="1"/>
  <c r="K27" i="13"/>
  <c r="R27" i="13" s="1"/>
  <c r="E27" i="13"/>
  <c r="D27" i="13"/>
  <c r="C27" i="13"/>
  <c r="M26" i="13"/>
  <c r="L26" i="13"/>
  <c r="N26" i="13" s="1"/>
  <c r="O26" i="13" s="1"/>
  <c r="K26" i="13"/>
  <c r="R26" i="13" s="1"/>
  <c r="E26" i="13"/>
  <c r="D26" i="13"/>
  <c r="C26" i="13"/>
  <c r="M25" i="13"/>
  <c r="L25" i="13"/>
  <c r="N25" i="13" s="1"/>
  <c r="O25" i="13" s="1"/>
  <c r="K25" i="13"/>
  <c r="R25" i="13" s="1"/>
  <c r="E25" i="13"/>
  <c r="D25" i="13"/>
  <c r="C25" i="13"/>
  <c r="M24" i="13"/>
  <c r="L24" i="13"/>
  <c r="N24" i="13" s="1"/>
  <c r="O24" i="13" s="1"/>
  <c r="K24" i="13"/>
  <c r="R24" i="13" s="1"/>
  <c r="D36" i="13" s="1"/>
  <c r="E24" i="13"/>
  <c r="D24" i="13"/>
  <c r="C24" i="13"/>
  <c r="M23" i="13"/>
  <c r="L23" i="13"/>
  <c r="N23" i="13" s="1"/>
  <c r="O23" i="13" s="1"/>
  <c r="I23" i="13" s="1"/>
  <c r="K23" i="13"/>
  <c r="R23" i="13" s="1"/>
  <c r="E23" i="13"/>
  <c r="D23" i="13"/>
  <c r="C23" i="13"/>
  <c r="E22" i="13"/>
  <c r="D22" i="13"/>
  <c r="C22" i="13"/>
  <c r="E21" i="13"/>
  <c r="D21" i="13"/>
  <c r="C21" i="13"/>
  <c r="E18" i="13"/>
  <c r="D18" i="13"/>
  <c r="C18" i="13"/>
  <c r="B18" i="13"/>
  <c r="E17" i="13"/>
  <c r="D17" i="13"/>
  <c r="C17" i="13"/>
  <c r="B17" i="13"/>
  <c r="E16" i="13"/>
  <c r="D16" i="13"/>
  <c r="C16" i="13"/>
  <c r="B16" i="13"/>
  <c r="R15" i="13"/>
  <c r="M15" i="13"/>
  <c r="L15" i="13"/>
  <c r="N15" i="13" s="1"/>
  <c r="O15" i="13" s="1"/>
  <c r="K15" i="13"/>
  <c r="E15" i="13"/>
  <c r="D15" i="13"/>
  <c r="C15" i="13"/>
  <c r="B15" i="13"/>
  <c r="R14" i="13"/>
  <c r="M14" i="13"/>
  <c r="L14" i="13"/>
  <c r="N14" i="13" s="1"/>
  <c r="O14" i="13" s="1"/>
  <c r="K14" i="13"/>
  <c r="E14" i="13"/>
  <c r="D14" i="13"/>
  <c r="C14" i="13"/>
  <c r="B14" i="13"/>
  <c r="R13" i="13"/>
  <c r="M13" i="13"/>
  <c r="L13" i="13"/>
  <c r="N13" i="13" s="1"/>
  <c r="O13" i="13" s="1"/>
  <c r="K13" i="13"/>
  <c r="E13" i="13"/>
  <c r="D13" i="13"/>
  <c r="C13" i="13"/>
  <c r="B13" i="13"/>
  <c r="R12" i="13"/>
  <c r="D39" i="13" s="1"/>
  <c r="M12" i="13"/>
  <c r="L12" i="13"/>
  <c r="N12" i="13" s="1"/>
  <c r="O12" i="13" s="1"/>
  <c r="K12" i="13"/>
  <c r="E12" i="13"/>
  <c r="D12" i="13"/>
  <c r="C12" i="13"/>
  <c r="B12" i="13"/>
  <c r="R11" i="13"/>
  <c r="C36" i="13" s="1"/>
  <c r="M11" i="13"/>
  <c r="L11" i="13"/>
  <c r="N11" i="13" s="1"/>
  <c r="O11" i="13" s="1"/>
  <c r="I11" i="13" s="1"/>
  <c r="K11" i="13"/>
  <c r="E11" i="13"/>
  <c r="D11" i="13"/>
  <c r="C11" i="13"/>
  <c r="B11" i="13"/>
  <c r="E10" i="13"/>
  <c r="D10" i="13"/>
  <c r="C10" i="13"/>
  <c r="B10" i="13"/>
  <c r="E9" i="13"/>
  <c r="D9" i="13"/>
  <c r="C9" i="13"/>
  <c r="B9" i="13"/>
  <c r="B29" i="10"/>
  <c r="E23" i="10"/>
  <c r="D23" i="10"/>
  <c r="C23" i="10"/>
  <c r="E22" i="10"/>
  <c r="D22" i="10"/>
  <c r="C22" i="10"/>
  <c r="E21" i="10"/>
  <c r="D21" i="10"/>
  <c r="C21" i="10"/>
  <c r="E20" i="10"/>
  <c r="D20" i="10"/>
  <c r="C20" i="10"/>
  <c r="E19" i="10"/>
  <c r="D19" i="10"/>
  <c r="C19" i="10"/>
  <c r="E18" i="10"/>
  <c r="D18" i="10"/>
  <c r="C18" i="10"/>
  <c r="E17" i="10"/>
  <c r="D17" i="10"/>
  <c r="C17" i="10"/>
  <c r="E16" i="10"/>
  <c r="D16" i="10"/>
  <c r="C16" i="10"/>
  <c r="E15" i="10"/>
  <c r="D15" i="10"/>
  <c r="C15" i="10"/>
  <c r="M14" i="10"/>
  <c r="L14" i="10"/>
  <c r="K14" i="10"/>
  <c r="E14" i="10"/>
  <c r="D14" i="10"/>
  <c r="C14" i="10"/>
  <c r="M13" i="10"/>
  <c r="L13" i="10"/>
  <c r="N13" i="10" s="1"/>
  <c r="K13" i="10"/>
  <c r="E13" i="10"/>
  <c r="D13" i="10"/>
  <c r="C13" i="10"/>
  <c r="M12" i="10"/>
  <c r="L12" i="10"/>
  <c r="K12" i="10"/>
  <c r="E12" i="10"/>
  <c r="D12" i="10"/>
  <c r="C12" i="10"/>
  <c r="M11" i="10"/>
  <c r="L11" i="10"/>
  <c r="N11" i="10" s="1"/>
  <c r="K11" i="10"/>
  <c r="E11" i="10"/>
  <c r="D11" i="10"/>
  <c r="C11" i="10"/>
  <c r="M10" i="10"/>
  <c r="L10" i="10"/>
  <c r="K10" i="10"/>
  <c r="Q12" i="10" s="1"/>
  <c r="E10" i="10"/>
  <c r="D10" i="10"/>
  <c r="C10" i="10"/>
  <c r="M9" i="10"/>
  <c r="L9" i="10"/>
  <c r="N9" i="10" s="1"/>
  <c r="K9" i="10"/>
  <c r="E9" i="10"/>
  <c r="D9" i="10"/>
  <c r="C9" i="10"/>
  <c r="D49" i="11"/>
  <c r="C49" i="11"/>
  <c r="E46" i="11"/>
  <c r="D46" i="11"/>
  <c r="B46" i="11"/>
  <c r="E43" i="11"/>
  <c r="D43" i="11"/>
  <c r="B40" i="11"/>
  <c r="E31" i="11"/>
  <c r="D31" i="11"/>
  <c r="C31" i="11"/>
  <c r="M30" i="11"/>
  <c r="L30" i="11"/>
  <c r="K30" i="11"/>
  <c r="E30" i="11"/>
  <c r="D30" i="11"/>
  <c r="C30" i="11"/>
  <c r="M29" i="11"/>
  <c r="L29" i="11"/>
  <c r="K29" i="11"/>
  <c r="E29" i="11"/>
  <c r="D29" i="11"/>
  <c r="C29" i="11"/>
  <c r="M28" i="11"/>
  <c r="L28" i="11"/>
  <c r="K28" i="11"/>
  <c r="R28" i="11" s="1"/>
  <c r="E28" i="11"/>
  <c r="D28" i="11"/>
  <c r="C28" i="11"/>
  <c r="R27" i="11"/>
  <c r="M27" i="11"/>
  <c r="L27" i="11"/>
  <c r="N27" i="11" s="1"/>
  <c r="O27" i="11" s="1"/>
  <c r="K27" i="11"/>
  <c r="E27" i="11"/>
  <c r="D27" i="11"/>
  <c r="C27" i="11"/>
  <c r="E26" i="11"/>
  <c r="D26" i="11"/>
  <c r="C26" i="11"/>
  <c r="E23" i="11"/>
  <c r="D23" i="11"/>
  <c r="C23" i="11"/>
  <c r="M22" i="11"/>
  <c r="L22" i="11"/>
  <c r="K22" i="11"/>
  <c r="E22" i="11"/>
  <c r="D22" i="11"/>
  <c r="C22" i="11"/>
  <c r="M21" i="11"/>
  <c r="L21" i="11"/>
  <c r="N21" i="11" s="1"/>
  <c r="O21" i="11" s="1"/>
  <c r="K21" i="11"/>
  <c r="E21" i="11"/>
  <c r="D21" i="11"/>
  <c r="C21" i="11"/>
  <c r="M20" i="11"/>
  <c r="L20" i="11"/>
  <c r="K20" i="11"/>
  <c r="E20" i="11"/>
  <c r="D20" i="11"/>
  <c r="C20" i="11"/>
  <c r="M19" i="11"/>
  <c r="L19" i="11"/>
  <c r="K19" i="11"/>
  <c r="R22" i="11" s="1"/>
  <c r="E19" i="11"/>
  <c r="D19" i="11"/>
  <c r="C19" i="11"/>
  <c r="E18" i="11"/>
  <c r="D18" i="11"/>
  <c r="C18" i="11"/>
  <c r="E14" i="11"/>
  <c r="D14" i="11"/>
  <c r="C14" i="11"/>
  <c r="M13" i="11"/>
  <c r="L13" i="11"/>
  <c r="K13" i="11"/>
  <c r="E13" i="11"/>
  <c r="D13" i="11"/>
  <c r="C13" i="11"/>
  <c r="M12" i="11"/>
  <c r="L12" i="11"/>
  <c r="K12" i="11"/>
  <c r="R12" i="11" s="1"/>
  <c r="E12" i="11"/>
  <c r="D12" i="11"/>
  <c r="C12" i="11"/>
  <c r="M11" i="11"/>
  <c r="L11" i="11"/>
  <c r="K11" i="11"/>
  <c r="R11" i="11" s="1"/>
  <c r="E11" i="11"/>
  <c r="D11" i="11"/>
  <c r="C11" i="11"/>
  <c r="M10" i="11"/>
  <c r="L10" i="11"/>
  <c r="K10" i="11"/>
  <c r="R13" i="11" s="1"/>
  <c r="E10" i="11"/>
  <c r="D10" i="11"/>
  <c r="C10" i="11"/>
  <c r="E9" i="11"/>
  <c r="D9" i="11"/>
  <c r="C9" i="11"/>
  <c r="R57" i="11" l="1"/>
  <c r="R56" i="11"/>
  <c r="R65" i="11"/>
  <c r="N10" i="11"/>
  <c r="O10" i="11" s="1"/>
  <c r="R10" i="11"/>
  <c r="L35" i="11" s="1"/>
  <c r="N11" i="11"/>
  <c r="O11" i="11" s="1"/>
  <c r="N12" i="11"/>
  <c r="O12" i="11" s="1"/>
  <c r="I12" i="11" s="1"/>
  <c r="N13" i="11"/>
  <c r="O13" i="11" s="1"/>
  <c r="N19" i="11"/>
  <c r="O19" i="11" s="1"/>
  <c r="I21" i="11" s="1"/>
  <c r="R19" i="11"/>
  <c r="R20" i="11"/>
  <c r="M42" i="11" s="1"/>
  <c r="R30" i="11"/>
  <c r="N29" i="11"/>
  <c r="O29" i="11" s="1"/>
  <c r="N63" i="11"/>
  <c r="O63" i="11" s="1"/>
  <c r="N65" i="11"/>
  <c r="O65" i="11" s="1"/>
  <c r="I65" i="11" s="1"/>
  <c r="R21" i="11"/>
  <c r="R29" i="11"/>
  <c r="N20" i="11"/>
  <c r="O20" i="11" s="1"/>
  <c r="I19" i="11" s="1"/>
  <c r="N22" i="11"/>
  <c r="O22" i="11" s="1"/>
  <c r="N28" i="11"/>
  <c r="O28" i="11" s="1"/>
  <c r="I29" i="11" s="1"/>
  <c r="N30" i="11"/>
  <c r="O30" i="11" s="1"/>
  <c r="N57" i="11"/>
  <c r="O57" i="11" s="1"/>
  <c r="I56" i="11" s="1"/>
  <c r="R58" i="11"/>
  <c r="I58" i="11"/>
  <c r="I25" i="13"/>
  <c r="I27" i="13"/>
  <c r="I12" i="13"/>
  <c r="I13" i="13"/>
  <c r="I14" i="13"/>
  <c r="I15" i="13"/>
  <c r="C39" i="13"/>
  <c r="E36" i="13"/>
  <c r="I24" i="13"/>
  <c r="I26" i="13"/>
  <c r="Q14" i="10"/>
  <c r="I14" i="10"/>
  <c r="I13" i="10"/>
  <c r="N10" i="10"/>
  <c r="N12" i="10"/>
  <c r="N14" i="10"/>
  <c r="Q10" i="10"/>
  <c r="D29" i="10" s="1"/>
  <c r="Q9" i="10"/>
  <c r="I10" i="10"/>
  <c r="Q11" i="10"/>
  <c r="I12" i="10"/>
  <c r="Q13" i="10"/>
  <c r="I9" i="10"/>
  <c r="I11" i="10"/>
  <c r="I11" i="11"/>
  <c r="I13" i="11"/>
  <c r="N41" i="11"/>
  <c r="L41" i="11"/>
  <c r="J41" i="11"/>
  <c r="M41" i="11"/>
  <c r="K41" i="11"/>
  <c r="N43" i="11"/>
  <c r="L43" i="11"/>
  <c r="J43" i="11"/>
  <c r="M43" i="11"/>
  <c r="K43" i="11"/>
  <c r="A40" i="11"/>
  <c r="A37" i="11"/>
  <c r="N35" i="11"/>
  <c r="K35" i="11"/>
  <c r="N37" i="11"/>
  <c r="L37" i="11"/>
  <c r="J37" i="11"/>
  <c r="M37" i="11"/>
  <c r="K37" i="11"/>
  <c r="M36" i="11"/>
  <c r="K36" i="11"/>
  <c r="N36" i="11"/>
  <c r="I36" i="11" s="1"/>
  <c r="L36" i="11"/>
  <c r="J36" i="11"/>
  <c r="L42" i="11"/>
  <c r="I30" i="11"/>
  <c r="K42" i="11" l="1"/>
  <c r="R42" i="11" s="1"/>
  <c r="D40" i="11" s="1"/>
  <c r="J35" i="11"/>
  <c r="J42" i="11"/>
  <c r="N42" i="11"/>
  <c r="I42" i="11" s="1"/>
  <c r="M35" i="11"/>
  <c r="I27" i="11"/>
  <c r="I63" i="11"/>
  <c r="I10" i="11"/>
  <c r="I64" i="11"/>
  <c r="I57" i="11"/>
  <c r="I28" i="11"/>
  <c r="I22" i="11"/>
  <c r="I20" i="11"/>
  <c r="R35" i="11"/>
  <c r="C46" i="11" s="1"/>
  <c r="C29" i="10"/>
  <c r="E40" i="11"/>
  <c r="I35" i="11"/>
  <c r="R41" i="11"/>
  <c r="C40" i="11" s="1"/>
  <c r="R36" i="11"/>
  <c r="R37" i="11"/>
  <c r="C37" i="11" s="1"/>
  <c r="I37" i="11"/>
  <c r="A46" i="11"/>
  <c r="A43" i="11"/>
  <c r="A49" i="11" s="1"/>
  <c r="R43" i="11"/>
  <c r="D37" i="11" s="1"/>
  <c r="I41" i="11" l="1"/>
  <c r="I43" i="11"/>
  <c r="C43" i="11"/>
  <c r="E37" i="11"/>
</calcChain>
</file>

<file path=xl/sharedStrings.xml><?xml version="1.0" encoding="utf-8"?>
<sst xmlns="http://schemas.openxmlformats.org/spreadsheetml/2006/main" count="498" uniqueCount="209">
  <si>
    <t>Cognoms Jug 1</t>
  </si>
  <si>
    <t>Nom Jug1</t>
  </si>
  <si>
    <t>Club Jug 1</t>
  </si>
  <si>
    <t>Cognoms Jug 2</t>
  </si>
  <si>
    <t>Nom Jug2</t>
  </si>
  <si>
    <t>Club Jug 2</t>
  </si>
  <si>
    <t>Parella</t>
  </si>
  <si>
    <t>categoria</t>
  </si>
  <si>
    <t>CVP GARRRAF</t>
  </si>
  <si>
    <t>BARBERO ROCA</t>
  </si>
  <si>
    <t>AITANA</t>
  </si>
  <si>
    <t>Ariadna</t>
  </si>
  <si>
    <t>DIAZ-NOFRE</t>
  </si>
  <si>
    <t>AMETLLA</t>
  </si>
  <si>
    <t>Nahia</t>
  </si>
  <si>
    <t>Francina</t>
  </si>
  <si>
    <t>Noah</t>
  </si>
  <si>
    <t>Aleix</t>
  </si>
  <si>
    <t>Camas Álvarez</t>
  </si>
  <si>
    <t>Alejandro</t>
  </si>
  <si>
    <t>VOLEIBOOM</t>
  </si>
  <si>
    <t>Carbó Graña</t>
  </si>
  <si>
    <t>Arnau</t>
  </si>
  <si>
    <t>Erikson Rodríguez</t>
  </si>
  <si>
    <t>Kai</t>
  </si>
  <si>
    <t>CARBÓ-ERICKSON</t>
  </si>
  <si>
    <t>Bräutigam</t>
  </si>
  <si>
    <t>Alexander</t>
  </si>
  <si>
    <t>Sendra Herrero</t>
  </si>
  <si>
    <t>Nil</t>
  </si>
  <si>
    <t>Estrada Blay</t>
  </si>
  <si>
    <t>Roger</t>
  </si>
  <si>
    <t>Agorreta Gómez</t>
  </si>
  <si>
    <t>Paula</t>
  </si>
  <si>
    <t>AGORRETA-RABAL</t>
  </si>
  <si>
    <t>Bericat Gázquez</t>
  </si>
  <si>
    <t>Noa</t>
  </si>
  <si>
    <t>BERICAT-SENDRA</t>
  </si>
  <si>
    <t>Colomines García</t>
  </si>
  <si>
    <t>Sara</t>
  </si>
  <si>
    <t>Mercè</t>
  </si>
  <si>
    <t>COLOMINES-COLOMINES</t>
  </si>
  <si>
    <t>Heredia Villalta</t>
  </si>
  <si>
    <t>Pina Pato</t>
  </si>
  <si>
    <t>Pol</t>
  </si>
  <si>
    <t>HEREDIA-PINA</t>
  </si>
  <si>
    <t>Hora</t>
  </si>
  <si>
    <t>Pista</t>
  </si>
  <si>
    <t>Equip 1</t>
  </si>
  <si>
    <t>Equip 2</t>
  </si>
  <si>
    <t>Àrbitre</t>
  </si>
  <si>
    <t>Punts</t>
  </si>
  <si>
    <t>RankA</t>
  </si>
  <si>
    <t>Partits Guanyats</t>
  </si>
  <si>
    <t>Punt F</t>
  </si>
  <si>
    <t>Punt C</t>
  </si>
  <si>
    <t>Coef Punts</t>
  </si>
  <si>
    <t>Control</t>
  </si>
  <si>
    <t>Rank Final</t>
  </si>
  <si>
    <t>Grup A</t>
  </si>
  <si>
    <t>Hora de Inicio</t>
  </si>
  <si>
    <t xml:space="preserve">Punts </t>
  </si>
  <si>
    <t>Cntrol</t>
  </si>
  <si>
    <t>Grup B</t>
  </si>
  <si>
    <t>Final</t>
  </si>
  <si>
    <t>Llistat Gener 2022</t>
  </si>
  <si>
    <t>Maseras López</t>
  </si>
  <si>
    <t>Casas Diaz</t>
  </si>
  <si>
    <t>Jordan Andres</t>
  </si>
  <si>
    <t>Pillacho Cando</t>
  </si>
  <si>
    <t>Suarez Fernandez</t>
  </si>
  <si>
    <t>Nofre Conill</t>
  </si>
  <si>
    <t>Díaz</t>
  </si>
  <si>
    <t>Aileen</t>
  </si>
  <si>
    <t>Sangalli</t>
  </si>
  <si>
    <t>Gabrielle</t>
  </si>
  <si>
    <t>Gaïtaud Garcia</t>
  </si>
  <si>
    <t>Ingrid</t>
  </si>
  <si>
    <t>Gamiz Pelegri</t>
  </si>
  <si>
    <t>Moreno Viñas</t>
  </si>
  <si>
    <t>Martí</t>
  </si>
  <si>
    <t>Galceran Sánchez</t>
  </si>
  <si>
    <t>Paul</t>
  </si>
  <si>
    <t>Bernstorff Ehrman</t>
  </si>
  <si>
    <t>Marcel</t>
  </si>
  <si>
    <t>Alabart Benoit</t>
  </si>
  <si>
    <t>Hugo</t>
  </si>
  <si>
    <t>Palomar Prats</t>
  </si>
  <si>
    <t>Max</t>
  </si>
  <si>
    <t>Barreiro Rojo</t>
  </si>
  <si>
    <t>Aurora</t>
  </si>
  <si>
    <t>Garfias Baig</t>
  </si>
  <si>
    <t>Magda</t>
  </si>
  <si>
    <t>Buj Capdet</t>
  </si>
  <si>
    <t>Obradó Sadurní</t>
  </si>
  <si>
    <t>judit</t>
  </si>
  <si>
    <t>MAGALLON FARRÉS</t>
  </si>
  <si>
    <t>Cristian</t>
  </si>
  <si>
    <t>Sánchez Rodríguez</t>
  </si>
  <si>
    <t>Aniol</t>
  </si>
  <si>
    <t>Martínez Conesa</t>
  </si>
  <si>
    <t>Jan</t>
  </si>
  <si>
    <t>Capdevila Enrique</t>
  </si>
  <si>
    <t>Benedicto Frias</t>
  </si>
  <si>
    <t>Leo</t>
  </si>
  <si>
    <t>Vázquez Ruiz</t>
  </si>
  <si>
    <t>Riba Rodon</t>
  </si>
  <si>
    <t>TINO</t>
  </si>
  <si>
    <t>HABELA PANEQUE</t>
  </si>
  <si>
    <t>oriol</t>
  </si>
  <si>
    <t>bigas sadurní</t>
  </si>
  <si>
    <t>Blai</t>
  </si>
  <si>
    <t>Fariñas Janer</t>
  </si>
  <si>
    <t>MARTINA</t>
  </si>
  <si>
    <t>JUANALS GELI</t>
  </si>
  <si>
    <t>EVA</t>
  </si>
  <si>
    <t>Gairin Neras</t>
  </si>
  <si>
    <t>martí</t>
  </si>
  <si>
    <t>MORERA DE LA VALL I TRÈMULS</t>
  </si>
  <si>
    <t>Yaran</t>
  </si>
  <si>
    <t>Recke</t>
  </si>
  <si>
    <t>AVAP GIRONA</t>
  </si>
  <si>
    <t>SUB-19 MASCULINO</t>
  </si>
  <si>
    <t>BRÄUTIGAM-CAMAS</t>
  </si>
  <si>
    <t>SUB-17 MASCULINO</t>
  </si>
  <si>
    <t>DEVOUGE-SENDRA</t>
  </si>
  <si>
    <t>Mercader</t>
  </si>
  <si>
    <t>Antón</t>
  </si>
  <si>
    <t>Andía Puig</t>
  </si>
  <si>
    <t>David</t>
  </si>
  <si>
    <t>MERCADER-ANDÍA</t>
  </si>
  <si>
    <t>SUB-17 FEMENINO</t>
  </si>
  <si>
    <t>SUB-15 MASCULINO</t>
  </si>
  <si>
    <t>CASAS-MORENO</t>
  </si>
  <si>
    <t>GARFIAS-GAMIZ</t>
  </si>
  <si>
    <t>BERNSTORFF-ALABART</t>
  </si>
  <si>
    <t>ANNIA-LUNA</t>
  </si>
  <si>
    <t>ALBA-NÚRIA</t>
  </si>
  <si>
    <t>GALCERAN-SÁNCHEZ</t>
  </si>
  <si>
    <t>MARTÍNEZ-VÁZQUEZ</t>
  </si>
  <si>
    <t>BENEDICTO-CAPDEVILA</t>
  </si>
  <si>
    <t>SANGALLI-BUJ</t>
  </si>
  <si>
    <t>HABELA-BIGAS</t>
  </si>
  <si>
    <t>MORERA-FARIÑAS</t>
  </si>
  <si>
    <t>GAIRIN-JUANALS</t>
  </si>
  <si>
    <t>MAGALLON-BARBERO</t>
  </si>
  <si>
    <t>GAÏTAUD-ANHORA</t>
  </si>
  <si>
    <t>SUB-21 FEMENINO</t>
  </si>
  <si>
    <t>SUB-19 FEMENINO</t>
  </si>
  <si>
    <t>SUB-15 FEMENINO</t>
  </si>
  <si>
    <t>ANNIA</t>
  </si>
  <si>
    <t>SORIANO MARTÍNEZ</t>
  </si>
  <si>
    <t>luna</t>
  </si>
  <si>
    <t>OSPINA LOAIZA</t>
  </si>
  <si>
    <t>PÉREZ BERBEL</t>
  </si>
  <si>
    <t>ALBA</t>
  </si>
  <si>
    <t>MORALES DONATO</t>
  </si>
  <si>
    <t>Ainhoa</t>
  </si>
  <si>
    <t>Vázquez García</t>
  </si>
  <si>
    <t>NÚRIA</t>
  </si>
  <si>
    <t>CASADEMONT ROQUETA</t>
  </si>
  <si>
    <t>Anaya Soriano</t>
  </si>
  <si>
    <t>Lara</t>
  </si>
  <si>
    <t>Vera</t>
  </si>
  <si>
    <t>Quim</t>
  </si>
  <si>
    <t>Genere</t>
  </si>
  <si>
    <t>Fem</t>
  </si>
  <si>
    <t>Masc</t>
  </si>
  <si>
    <t xml:space="preserve">Numero de pistas necesarias </t>
  </si>
  <si>
    <t>Pistas</t>
  </si>
  <si>
    <t>Arbitre</t>
  </si>
  <si>
    <t>Grup C</t>
  </si>
  <si>
    <t>Fase Final</t>
  </si>
  <si>
    <t>Primers de grup</t>
  </si>
  <si>
    <t>QF1</t>
  </si>
  <si>
    <t>3r Primer</t>
  </si>
  <si>
    <t>Tercer 2n</t>
  </si>
  <si>
    <t>Segon 1r</t>
  </si>
  <si>
    <t>QF2</t>
  </si>
  <si>
    <t>Millor 2n</t>
  </si>
  <si>
    <t>Segon 2n</t>
  </si>
  <si>
    <t>Millor 1r</t>
  </si>
  <si>
    <t>Segons de grup</t>
  </si>
  <si>
    <t>SF2</t>
  </si>
  <si>
    <t>Guanyador QF1</t>
  </si>
  <si>
    <t>Perdedor QF1</t>
  </si>
  <si>
    <t>SF1</t>
  </si>
  <si>
    <t>Guanyador QF2</t>
  </si>
  <si>
    <t>Perdedor QF2</t>
  </si>
  <si>
    <t>Guanyador SF1</t>
  </si>
  <si>
    <t>Guanyador SF2</t>
  </si>
  <si>
    <t>FCVB</t>
  </si>
  <si>
    <t>Menors Fem</t>
  </si>
  <si>
    <t>2n Grup A</t>
  </si>
  <si>
    <t>1r Grup A</t>
  </si>
  <si>
    <t>2n Grup B</t>
  </si>
  <si>
    <t>1er Grup B</t>
  </si>
  <si>
    <t>1r Grup B</t>
  </si>
  <si>
    <t>SUAREZ-VERA</t>
  </si>
  <si>
    <t>MASERAS-PILANCHO</t>
  </si>
  <si>
    <t>Menors Masc S21/19/17</t>
  </si>
  <si>
    <t>BSC</t>
  </si>
  <si>
    <t>BORJA</t>
  </si>
  <si>
    <t>OBRADO-PEREZ</t>
  </si>
  <si>
    <t>PALOMAR-BARREIRO</t>
  </si>
  <si>
    <t>RECKE - RIBA</t>
  </si>
  <si>
    <t>Perdedor SF2</t>
  </si>
  <si>
    <t>Triangular per 7ena Posició</t>
  </si>
  <si>
    <t>Triangular per 10ena Posició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</si>
</sst>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rgb="FF000000"/>
      <name val="Calibri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0" fontId="0" fillId="0" borderId="1" xfId="0" applyNumberForma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/>
    <xf numFmtId="20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8" fillId="0" borderId="0" xfId="0" applyFont="1"/>
    <xf numFmtId="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9" fillId="0" borderId="0" xfId="1"/>
    <xf numFmtId="0" fontId="2" fillId="0" borderId="0" xfId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3" xfId="0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0" fontId="0" fillId="0" borderId="1" xfId="0" applyNumberFormat="1" applyFill="1" applyBorder="1" applyAlignment="1">
      <alignment horizontal="center"/>
    </xf>
    <xf numFmtId="20" fontId="0" fillId="0" borderId="5" xfId="0" applyNumberForma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9" fillId="0" borderId="1" xfId="1" applyFill="1" applyBorder="1" applyAlignment="1">
      <alignment horizontal="center"/>
    </xf>
  </cellXfs>
  <cellStyles count="2">
    <cellStyle name="Normal" xfId="0" builtinId="0"/>
    <cellStyle name="Normal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1</xdr:col>
      <xdr:colOff>609600</xdr:colOff>
      <xdr:row>4</xdr:row>
      <xdr:rowOff>57150</xdr:rowOff>
    </xdr:to>
    <xdr:pic>
      <xdr:nvPicPr>
        <xdr:cNvPr id="2" name="5 Imagen" descr="logo FCVb 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0"/>
          <a:ext cx="17811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109659</xdr:rowOff>
    </xdr:from>
    <xdr:to>
      <xdr:col>8</xdr:col>
      <xdr:colOff>477826</xdr:colOff>
      <xdr:row>3</xdr:row>
      <xdr:rowOff>171450</xdr:rowOff>
    </xdr:to>
    <xdr:pic>
      <xdr:nvPicPr>
        <xdr:cNvPr id="2" name="1 Imagen" descr="logo FCVb 09">
          <a:extLst>
            <a:ext uri="{FF2B5EF4-FFF2-40B4-BE49-F238E27FC236}">
              <a16:creationId xmlns:a16="http://schemas.microsoft.com/office/drawing/2014/main" id="{137829F5-F2B8-43C1-BA01-785ED404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09659"/>
          <a:ext cx="1658926" cy="633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3" name="4 Imagen" descr="logo FCVb 09">
          <a:extLst>
            <a:ext uri="{FF2B5EF4-FFF2-40B4-BE49-F238E27FC236}">
              <a16:creationId xmlns:a16="http://schemas.microsoft.com/office/drawing/2014/main" id="{3208994C-39D1-4358-BD19-51C4F056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0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4" name="3 Imagen" descr="logo FCVb 09">
          <a:extLst>
            <a:ext uri="{FF2B5EF4-FFF2-40B4-BE49-F238E27FC236}">
              <a16:creationId xmlns:a16="http://schemas.microsoft.com/office/drawing/2014/main" id="{DD3F2A9B-06BC-44EB-88D1-E014707F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0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5" name="4 Imagen" descr="logo FCVb 09">
          <a:extLst>
            <a:ext uri="{FF2B5EF4-FFF2-40B4-BE49-F238E27FC236}">
              <a16:creationId xmlns:a16="http://schemas.microsoft.com/office/drawing/2014/main" id="{45808DAE-C200-4FFA-B5C3-2A09F8E9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0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6" name="3 Imagen" descr="logo FCVb 09">
          <a:extLst>
            <a:ext uri="{FF2B5EF4-FFF2-40B4-BE49-F238E27FC236}">
              <a16:creationId xmlns:a16="http://schemas.microsoft.com/office/drawing/2014/main" id="{E506B4F2-4CB8-4B96-BB40-8B1041AE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0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206677</xdr:colOff>
      <xdr:row>1</xdr:row>
      <xdr:rowOff>14409</xdr:rowOff>
    </xdr:from>
    <xdr:to>
      <xdr:col>9</xdr:col>
      <xdr:colOff>718982</xdr:colOff>
      <xdr:row>5</xdr:row>
      <xdr:rowOff>142874</xdr:rowOff>
    </xdr:to>
    <xdr:pic>
      <xdr:nvPicPr>
        <xdr:cNvPr id="2" name="1 Imagen" descr="logo FCVb 0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7002" y="204909"/>
          <a:ext cx="20363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3" name="4 Imagen" descr="logo FCVb 0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4" name="3 Imagen" descr="logo FCVb 0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206677</xdr:colOff>
      <xdr:row>1</xdr:row>
      <xdr:rowOff>14409</xdr:rowOff>
    </xdr:from>
    <xdr:to>
      <xdr:col>9</xdr:col>
      <xdr:colOff>718982</xdr:colOff>
      <xdr:row>5</xdr:row>
      <xdr:rowOff>142874</xdr:rowOff>
    </xdr:to>
    <xdr:pic>
      <xdr:nvPicPr>
        <xdr:cNvPr id="2" name="1 Imagen" descr="logo FCVb 0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2277" y="204909"/>
          <a:ext cx="20363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3" name="4 Imagen" descr="logo FCVb 0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1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4" name="3 Imagen" descr="logo FCVb 09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1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topLeftCell="A15" workbookViewId="0">
      <selection activeCell="H7" sqref="H7:H34"/>
    </sheetView>
  </sheetViews>
  <sheetFormatPr baseColWidth="10" defaultColWidth="9.140625" defaultRowHeight="15" x14ac:dyDescent="0.25"/>
  <cols>
    <col min="1" max="1" width="19.85546875" bestFit="1" customWidth="1"/>
    <col min="2" max="2" width="11.42578125" bestFit="1" customWidth="1"/>
    <col min="3" max="3" width="13.28515625" bestFit="1" customWidth="1"/>
    <col min="4" max="4" width="19.140625" bestFit="1" customWidth="1"/>
    <col min="5" max="5" width="11.42578125" bestFit="1" customWidth="1"/>
    <col min="6" max="6" width="13.28515625" bestFit="1" customWidth="1"/>
    <col min="7" max="7" width="24.5703125" bestFit="1" customWidth="1"/>
    <col min="8" max="8" width="22.140625" bestFit="1" customWidth="1"/>
    <col min="9" max="9" width="11.85546875" bestFit="1" customWidth="1"/>
  </cols>
  <sheetData>
    <row r="2" spans="1:9" x14ac:dyDescent="0.25">
      <c r="C2" s="34" t="s">
        <v>65</v>
      </c>
      <c r="D2" s="34"/>
      <c r="E2" s="34"/>
    </row>
    <row r="3" spans="1:9" x14ac:dyDescent="0.25">
      <c r="C3" s="34"/>
      <c r="D3" s="34"/>
      <c r="E3" s="34"/>
    </row>
    <row r="4" spans="1:9" x14ac:dyDescent="0.25">
      <c r="C4" s="34"/>
      <c r="D4" s="34"/>
      <c r="E4" s="34"/>
    </row>
    <row r="6" spans="1:9" x14ac:dyDescent="0.25">
      <c r="A6" s="30" t="s">
        <v>0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0" t="s">
        <v>165</v>
      </c>
    </row>
    <row r="7" spans="1:9" x14ac:dyDescent="0.25">
      <c r="A7" s="9" t="s">
        <v>116</v>
      </c>
      <c r="B7" s="9" t="s">
        <v>115</v>
      </c>
      <c r="C7" s="9" t="s">
        <v>121</v>
      </c>
      <c r="D7" s="9" t="s">
        <v>114</v>
      </c>
      <c r="E7" s="9" t="s">
        <v>113</v>
      </c>
      <c r="F7" s="9" t="s">
        <v>121</v>
      </c>
      <c r="G7" s="9" t="s">
        <v>144</v>
      </c>
      <c r="H7" s="31" t="s">
        <v>149</v>
      </c>
      <c r="I7" s="54" t="s">
        <v>166</v>
      </c>
    </row>
    <row r="8" spans="1:9" x14ac:dyDescent="0.25">
      <c r="A8" s="9" t="s">
        <v>67</v>
      </c>
      <c r="B8" s="9" t="s">
        <v>14</v>
      </c>
      <c r="C8" s="3" t="s">
        <v>13</v>
      </c>
      <c r="D8" s="9" t="s">
        <v>79</v>
      </c>
      <c r="E8" s="9" t="s">
        <v>15</v>
      </c>
      <c r="F8" s="3" t="s">
        <v>13</v>
      </c>
      <c r="G8" s="51" t="s">
        <v>133</v>
      </c>
      <c r="H8" s="53" t="s">
        <v>131</v>
      </c>
      <c r="I8" s="54" t="s">
        <v>166</v>
      </c>
    </row>
    <row r="9" spans="1:9" x14ac:dyDescent="0.25">
      <c r="A9" s="9" t="s">
        <v>96</v>
      </c>
      <c r="B9" s="9" t="s">
        <v>95</v>
      </c>
      <c r="C9" s="9" t="s">
        <v>121</v>
      </c>
      <c r="D9" s="9" t="s">
        <v>9</v>
      </c>
      <c r="E9" s="9" t="s">
        <v>10</v>
      </c>
      <c r="F9" s="9" t="s">
        <v>121</v>
      </c>
      <c r="G9" s="9" t="s">
        <v>145</v>
      </c>
      <c r="H9" s="31" t="s">
        <v>131</v>
      </c>
      <c r="I9" s="54" t="s">
        <v>166</v>
      </c>
    </row>
    <row r="10" spans="1:9" x14ac:dyDescent="0.25">
      <c r="A10" s="9" t="s">
        <v>91</v>
      </c>
      <c r="B10" s="9" t="s">
        <v>90</v>
      </c>
      <c r="C10" s="3" t="s">
        <v>8</v>
      </c>
      <c r="D10" s="9" t="s">
        <v>78</v>
      </c>
      <c r="E10" s="9" t="s">
        <v>77</v>
      </c>
      <c r="F10" s="3" t="s">
        <v>8</v>
      </c>
      <c r="G10" s="9" t="s">
        <v>134</v>
      </c>
      <c r="H10" s="31" t="s">
        <v>131</v>
      </c>
      <c r="I10" s="54" t="s">
        <v>166</v>
      </c>
    </row>
    <row r="11" spans="1:9" x14ac:dyDescent="0.25">
      <c r="A11" s="9" t="s">
        <v>76</v>
      </c>
      <c r="B11" s="9" t="s">
        <v>75</v>
      </c>
      <c r="C11" s="3" t="s">
        <v>8</v>
      </c>
      <c r="D11" s="9" t="s">
        <v>158</v>
      </c>
      <c r="E11" s="9" t="s">
        <v>157</v>
      </c>
      <c r="F11" s="3" t="s">
        <v>8</v>
      </c>
      <c r="G11" s="9" t="s">
        <v>146</v>
      </c>
      <c r="H11" s="53" t="s">
        <v>131</v>
      </c>
      <c r="I11" s="54" t="s">
        <v>166</v>
      </c>
    </row>
    <row r="12" spans="1:9" x14ac:dyDescent="0.25">
      <c r="A12" s="52" t="s">
        <v>32</v>
      </c>
      <c r="B12" s="52" t="s">
        <v>33</v>
      </c>
      <c r="C12" s="2" t="s">
        <v>20</v>
      </c>
      <c r="D12" s="52" t="s">
        <v>161</v>
      </c>
      <c r="E12" s="52" t="s">
        <v>162</v>
      </c>
      <c r="F12" s="2" t="s">
        <v>20</v>
      </c>
      <c r="G12" s="52" t="s">
        <v>34</v>
      </c>
      <c r="H12" s="31" t="s">
        <v>131</v>
      </c>
      <c r="I12" s="54" t="s">
        <v>166</v>
      </c>
    </row>
    <row r="13" spans="1:9" x14ac:dyDescent="0.25">
      <c r="A13" s="52" t="s">
        <v>35</v>
      </c>
      <c r="B13" s="52" t="s">
        <v>16</v>
      </c>
      <c r="C13" s="2" t="s">
        <v>20</v>
      </c>
      <c r="D13" s="52" t="s">
        <v>28</v>
      </c>
      <c r="E13" s="52" t="s">
        <v>36</v>
      </c>
      <c r="F13" s="2" t="s">
        <v>20</v>
      </c>
      <c r="G13" s="52" t="s">
        <v>37</v>
      </c>
      <c r="H13" s="31" t="s">
        <v>131</v>
      </c>
      <c r="I13" s="54" t="s">
        <v>166</v>
      </c>
    </row>
    <row r="14" spans="1:9" x14ac:dyDescent="0.25">
      <c r="A14" s="52" t="s">
        <v>38</v>
      </c>
      <c r="B14" s="52" t="s">
        <v>39</v>
      </c>
      <c r="C14" s="2" t="s">
        <v>20</v>
      </c>
      <c r="D14" s="52" t="s">
        <v>38</v>
      </c>
      <c r="E14" s="52" t="s">
        <v>40</v>
      </c>
      <c r="F14" s="2" t="s">
        <v>20</v>
      </c>
      <c r="G14" s="52" t="s">
        <v>41</v>
      </c>
      <c r="H14" s="31" t="s">
        <v>131</v>
      </c>
      <c r="I14" s="54" t="s">
        <v>166</v>
      </c>
    </row>
    <row r="15" spans="1:9" x14ac:dyDescent="0.25">
      <c r="A15" s="9" t="s">
        <v>151</v>
      </c>
      <c r="B15" s="9" t="s">
        <v>150</v>
      </c>
      <c r="C15" s="9" t="s">
        <v>121</v>
      </c>
      <c r="D15" s="9" t="s">
        <v>153</v>
      </c>
      <c r="E15" s="9" t="s">
        <v>152</v>
      </c>
      <c r="F15" s="9" t="s">
        <v>121</v>
      </c>
      <c r="G15" s="9" t="s">
        <v>136</v>
      </c>
      <c r="H15" s="31" t="s">
        <v>148</v>
      </c>
      <c r="I15" s="54" t="s">
        <v>166</v>
      </c>
    </row>
    <row r="16" spans="1:9" x14ac:dyDescent="0.25">
      <c r="A16" s="9" t="s">
        <v>156</v>
      </c>
      <c r="B16" s="9" t="s">
        <v>155</v>
      </c>
      <c r="C16" s="9" t="s">
        <v>121</v>
      </c>
      <c r="D16" s="9" t="s">
        <v>160</v>
      </c>
      <c r="E16" s="9" t="s">
        <v>159</v>
      </c>
      <c r="F16" s="9" t="s">
        <v>121</v>
      </c>
      <c r="G16" s="9" t="s">
        <v>137</v>
      </c>
      <c r="H16" s="31" t="s">
        <v>148</v>
      </c>
      <c r="I16" s="54" t="s">
        <v>166</v>
      </c>
    </row>
    <row r="17" spans="1:10" x14ac:dyDescent="0.25">
      <c r="A17" s="9" t="s">
        <v>74</v>
      </c>
      <c r="B17" s="9" t="s">
        <v>73</v>
      </c>
      <c r="C17" s="3" t="s">
        <v>8</v>
      </c>
      <c r="D17" s="9" t="s">
        <v>93</v>
      </c>
      <c r="E17" s="9" t="s">
        <v>92</v>
      </c>
      <c r="F17" s="3" t="s">
        <v>8</v>
      </c>
      <c r="G17" s="9" t="s">
        <v>141</v>
      </c>
      <c r="H17" s="31" t="s">
        <v>148</v>
      </c>
      <c r="I17" s="54" t="s">
        <v>166</v>
      </c>
    </row>
    <row r="18" spans="1:10" ht="15.75" x14ac:dyDescent="0.25">
      <c r="A18" s="9" t="s">
        <v>72</v>
      </c>
      <c r="B18" s="9" t="s">
        <v>11</v>
      </c>
      <c r="C18" s="3" t="s">
        <v>13</v>
      </c>
      <c r="D18" s="9" t="s">
        <v>71</v>
      </c>
      <c r="E18" s="9" t="s">
        <v>11</v>
      </c>
      <c r="F18" s="3" t="s">
        <v>13</v>
      </c>
      <c r="G18" s="55" t="s">
        <v>12</v>
      </c>
      <c r="H18" s="31" t="s">
        <v>147</v>
      </c>
      <c r="I18" s="54" t="s">
        <v>166</v>
      </c>
    </row>
    <row r="19" spans="1:10" ht="15.75" x14ac:dyDescent="0.25">
      <c r="A19" s="9" t="s">
        <v>81</v>
      </c>
      <c r="B19" s="9" t="s">
        <v>80</v>
      </c>
      <c r="C19" s="3" t="s">
        <v>13</v>
      </c>
      <c r="D19" s="9" t="s">
        <v>98</v>
      </c>
      <c r="E19" s="9" t="s">
        <v>97</v>
      </c>
      <c r="F19" s="3" t="s">
        <v>13</v>
      </c>
      <c r="G19" s="9" t="s">
        <v>138</v>
      </c>
      <c r="H19" s="31" t="s">
        <v>132</v>
      </c>
      <c r="I19" s="54" t="s">
        <v>167</v>
      </c>
      <c r="J19" s="28"/>
    </row>
    <row r="20" spans="1:10" x14ac:dyDescent="0.25">
      <c r="A20" s="9" t="s">
        <v>100</v>
      </c>
      <c r="B20" s="9" t="s">
        <v>99</v>
      </c>
      <c r="C20" s="3" t="s">
        <v>13</v>
      </c>
      <c r="D20" s="9" t="s">
        <v>105</v>
      </c>
      <c r="E20" s="9" t="s">
        <v>104</v>
      </c>
      <c r="F20" s="3" t="s">
        <v>13</v>
      </c>
      <c r="G20" s="9" t="s">
        <v>139</v>
      </c>
      <c r="H20" s="31" t="s">
        <v>132</v>
      </c>
      <c r="I20" s="54" t="s">
        <v>167</v>
      </c>
    </row>
    <row r="21" spans="1:10" x14ac:dyDescent="0.25">
      <c r="A21" s="9" t="s">
        <v>103</v>
      </c>
      <c r="B21" s="9" t="s">
        <v>80</v>
      </c>
      <c r="C21" s="3" t="s">
        <v>13</v>
      </c>
      <c r="D21" s="9" t="s">
        <v>102</v>
      </c>
      <c r="E21" s="9" t="s">
        <v>101</v>
      </c>
      <c r="F21" s="3" t="s">
        <v>13</v>
      </c>
      <c r="G21" s="9" t="s">
        <v>140</v>
      </c>
      <c r="H21" s="31" t="s">
        <v>132</v>
      </c>
      <c r="I21" s="54" t="s">
        <v>167</v>
      </c>
      <c r="J21" s="29"/>
    </row>
    <row r="22" spans="1:10" x14ac:dyDescent="0.25">
      <c r="A22" s="9" t="s">
        <v>108</v>
      </c>
      <c r="B22" s="9" t="s">
        <v>107</v>
      </c>
      <c r="C22" s="9" t="s">
        <v>121</v>
      </c>
      <c r="D22" s="9" t="s">
        <v>110</v>
      </c>
      <c r="E22" s="9" t="s">
        <v>109</v>
      </c>
      <c r="F22" s="9" t="s">
        <v>121</v>
      </c>
      <c r="G22" s="9" t="s">
        <v>142</v>
      </c>
      <c r="H22" s="31" t="s">
        <v>132</v>
      </c>
      <c r="I22" s="54" t="s">
        <v>167</v>
      </c>
      <c r="J22" s="29"/>
    </row>
    <row r="23" spans="1:10" ht="15.75" x14ac:dyDescent="0.25">
      <c r="A23" s="9" t="s">
        <v>118</v>
      </c>
      <c r="B23" s="9" t="s">
        <v>117</v>
      </c>
      <c r="C23" s="9" t="s">
        <v>121</v>
      </c>
      <c r="D23" s="9" t="s">
        <v>112</v>
      </c>
      <c r="E23" s="9" t="s">
        <v>111</v>
      </c>
      <c r="F23" s="9" t="s">
        <v>121</v>
      </c>
      <c r="G23" s="9" t="s">
        <v>143</v>
      </c>
      <c r="H23" s="53" t="s">
        <v>132</v>
      </c>
      <c r="I23" s="54" t="s">
        <v>167</v>
      </c>
      <c r="J23" s="28"/>
    </row>
    <row r="24" spans="1:10" x14ac:dyDescent="0.25">
      <c r="A24" s="52" t="s">
        <v>42</v>
      </c>
      <c r="B24" s="52" t="s">
        <v>19</v>
      </c>
      <c r="C24" s="2" t="s">
        <v>20</v>
      </c>
      <c r="D24" s="52" t="s">
        <v>43</v>
      </c>
      <c r="E24" s="52" t="s">
        <v>44</v>
      </c>
      <c r="F24" s="2" t="s">
        <v>20</v>
      </c>
      <c r="G24" s="52" t="s">
        <v>45</v>
      </c>
      <c r="H24" s="31" t="s">
        <v>132</v>
      </c>
      <c r="I24" s="54" t="s">
        <v>167</v>
      </c>
    </row>
    <row r="25" spans="1:10" x14ac:dyDescent="0.25">
      <c r="A25" s="9" t="s">
        <v>70</v>
      </c>
      <c r="B25" s="9" t="s">
        <v>17</v>
      </c>
      <c r="C25" s="3" t="s">
        <v>13</v>
      </c>
      <c r="D25" s="9" t="s">
        <v>163</v>
      </c>
      <c r="E25" s="9" t="s">
        <v>164</v>
      </c>
      <c r="F25" s="3" t="s">
        <v>13</v>
      </c>
      <c r="G25" s="9" t="s">
        <v>198</v>
      </c>
      <c r="H25" s="31" t="s">
        <v>124</v>
      </c>
      <c r="I25" s="54" t="s">
        <v>167</v>
      </c>
    </row>
    <row r="26" spans="1:10" x14ac:dyDescent="0.25">
      <c r="A26" s="9" t="s">
        <v>66</v>
      </c>
      <c r="B26" s="9" t="s">
        <v>16</v>
      </c>
      <c r="C26" s="3" t="s">
        <v>13</v>
      </c>
      <c r="D26" s="9" t="s">
        <v>69</v>
      </c>
      <c r="E26" s="9" t="s">
        <v>68</v>
      </c>
      <c r="F26" s="3" t="s">
        <v>13</v>
      </c>
      <c r="G26" s="9" t="s">
        <v>199</v>
      </c>
      <c r="H26" s="31" t="s">
        <v>124</v>
      </c>
      <c r="I26" s="54" t="s">
        <v>167</v>
      </c>
    </row>
    <row r="27" spans="1:10" x14ac:dyDescent="0.25">
      <c r="A27" s="52" t="s">
        <v>21</v>
      </c>
      <c r="B27" s="52" t="s">
        <v>22</v>
      </c>
      <c r="C27" s="2" t="s">
        <v>20</v>
      </c>
      <c r="D27" s="52" t="s">
        <v>23</v>
      </c>
      <c r="E27" s="52" t="s">
        <v>24</v>
      </c>
      <c r="F27" s="2" t="s">
        <v>20</v>
      </c>
      <c r="G27" s="52" t="s">
        <v>25</v>
      </c>
      <c r="H27" s="31" t="s">
        <v>124</v>
      </c>
      <c r="I27" s="54" t="s">
        <v>167</v>
      </c>
    </row>
    <row r="28" spans="1:10" x14ac:dyDescent="0.25">
      <c r="A28" s="52" t="s">
        <v>30</v>
      </c>
      <c r="B28" s="52" t="s">
        <v>31</v>
      </c>
      <c r="C28" s="2" t="s">
        <v>20</v>
      </c>
      <c r="D28" s="52" t="s">
        <v>28</v>
      </c>
      <c r="E28" s="52" t="s">
        <v>29</v>
      </c>
      <c r="F28" s="2" t="s">
        <v>20</v>
      </c>
      <c r="G28" s="52" t="s">
        <v>125</v>
      </c>
      <c r="H28" s="31" t="s">
        <v>124</v>
      </c>
      <c r="I28" s="54" t="s">
        <v>167</v>
      </c>
    </row>
    <row r="29" spans="1:10" ht="15.75" customHeight="1" x14ac:dyDescent="0.25">
      <c r="A29" s="52" t="s">
        <v>126</v>
      </c>
      <c r="B29" s="52" t="s">
        <v>127</v>
      </c>
      <c r="C29" s="2" t="s">
        <v>20</v>
      </c>
      <c r="D29" s="52" t="s">
        <v>128</v>
      </c>
      <c r="E29" s="52" t="s">
        <v>129</v>
      </c>
      <c r="F29" s="2" t="s">
        <v>20</v>
      </c>
      <c r="G29" s="52" t="s">
        <v>130</v>
      </c>
      <c r="H29" s="31" t="s">
        <v>124</v>
      </c>
      <c r="I29" s="54" t="s">
        <v>167</v>
      </c>
    </row>
    <row r="30" spans="1:10" x14ac:dyDescent="0.25">
      <c r="A30" s="9" t="s">
        <v>83</v>
      </c>
      <c r="B30" s="9" t="s">
        <v>82</v>
      </c>
      <c r="C30" s="3" t="s">
        <v>8</v>
      </c>
      <c r="D30" s="9" t="s">
        <v>85</v>
      </c>
      <c r="E30" s="9" t="s">
        <v>84</v>
      </c>
      <c r="F30" s="3" t="s">
        <v>8</v>
      </c>
      <c r="G30" s="9" t="s">
        <v>135</v>
      </c>
      <c r="H30" s="31" t="s">
        <v>122</v>
      </c>
      <c r="I30" s="54" t="s">
        <v>167</v>
      </c>
    </row>
    <row r="31" spans="1:10" x14ac:dyDescent="0.25">
      <c r="A31" s="52" t="s">
        <v>26</v>
      </c>
      <c r="B31" s="52" t="s">
        <v>27</v>
      </c>
      <c r="C31" s="2" t="s">
        <v>20</v>
      </c>
      <c r="D31" s="52" t="s">
        <v>18</v>
      </c>
      <c r="E31" s="52" t="s">
        <v>19</v>
      </c>
      <c r="F31" s="2" t="s">
        <v>20</v>
      </c>
      <c r="G31" s="9" t="s">
        <v>123</v>
      </c>
      <c r="H31" s="31" t="s">
        <v>122</v>
      </c>
      <c r="I31" s="54" t="s">
        <v>167</v>
      </c>
    </row>
    <row r="32" spans="1:10" x14ac:dyDescent="0.25">
      <c r="A32" s="9" t="s">
        <v>94</v>
      </c>
      <c r="B32" s="9" t="s">
        <v>44</v>
      </c>
      <c r="C32" s="2" t="s">
        <v>201</v>
      </c>
      <c r="D32" s="9" t="s">
        <v>154</v>
      </c>
      <c r="E32" s="52" t="s">
        <v>202</v>
      </c>
      <c r="F32" s="9" t="s">
        <v>121</v>
      </c>
      <c r="G32" s="52" t="s">
        <v>203</v>
      </c>
      <c r="H32" s="53" t="s">
        <v>122</v>
      </c>
      <c r="I32" s="54" t="s">
        <v>167</v>
      </c>
    </row>
    <row r="33" spans="1:9" ht="14.25" customHeight="1" x14ac:dyDescent="0.25">
      <c r="A33" s="9" t="s">
        <v>87</v>
      </c>
      <c r="B33" s="9" t="s">
        <v>86</v>
      </c>
      <c r="C33" s="2" t="s">
        <v>201</v>
      </c>
      <c r="D33" s="9" t="s">
        <v>89</v>
      </c>
      <c r="E33" s="9" t="s">
        <v>88</v>
      </c>
      <c r="F33" s="2" t="s">
        <v>201</v>
      </c>
      <c r="G33" s="52" t="s">
        <v>204</v>
      </c>
      <c r="H33" s="53" t="s">
        <v>124</v>
      </c>
      <c r="I33" s="54" t="s">
        <v>167</v>
      </c>
    </row>
    <row r="34" spans="1:9" x14ac:dyDescent="0.25">
      <c r="A34" s="8" t="s">
        <v>120</v>
      </c>
      <c r="B34" s="8" t="s">
        <v>119</v>
      </c>
      <c r="C34" s="2" t="s">
        <v>201</v>
      </c>
      <c r="D34" s="8" t="s">
        <v>106</v>
      </c>
      <c r="E34" s="8" t="s">
        <v>88</v>
      </c>
      <c r="F34" s="2" t="s">
        <v>201</v>
      </c>
      <c r="G34" s="52" t="s">
        <v>205</v>
      </c>
      <c r="H34" s="53" t="s">
        <v>124</v>
      </c>
      <c r="I34" s="54" t="s">
        <v>167</v>
      </c>
    </row>
  </sheetData>
  <autoFilter ref="A6:I6"/>
  <sortState ref="A7:O31">
    <sortCondition ref="I7:I31"/>
    <sortCondition ref="H7:H31"/>
  </sortState>
  <mergeCells count="1">
    <mergeCell ref="C2:E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16" workbookViewId="0">
      <selection activeCell="I25" sqref="I25"/>
    </sheetView>
  </sheetViews>
  <sheetFormatPr baseColWidth="10" defaultRowHeight="15" x14ac:dyDescent="0.25"/>
  <cols>
    <col min="1" max="1" width="6.5703125" bestFit="1" customWidth="1"/>
    <col min="2" max="2" width="8.140625" customWidth="1"/>
    <col min="3" max="4" width="20.5703125" bestFit="1" customWidth="1"/>
    <col min="5" max="5" width="20.5703125" customWidth="1"/>
    <col min="10" max="10" width="22.140625" bestFit="1" customWidth="1"/>
    <col min="11" max="11" width="15.28515625" bestFit="1" customWidth="1"/>
    <col min="17" max="17" width="27.5703125" customWidth="1"/>
  </cols>
  <sheetData>
    <row r="1" spans="1:17" ht="15" customHeight="1" x14ac:dyDescent="0.25">
      <c r="A1" s="35"/>
      <c r="B1" s="35"/>
      <c r="C1" s="35"/>
      <c r="D1" s="35"/>
      <c r="E1" s="35"/>
      <c r="F1" s="35"/>
      <c r="J1" s="18" t="s">
        <v>60</v>
      </c>
      <c r="K1" s="19">
        <v>0.64583333333333337</v>
      </c>
    </row>
    <row r="2" spans="1:17" x14ac:dyDescent="0.25">
      <c r="A2" s="35"/>
      <c r="B2" s="35"/>
      <c r="C2" s="35"/>
      <c r="D2" s="35"/>
      <c r="E2" s="35"/>
      <c r="F2" s="35"/>
      <c r="J2" s="20" t="s">
        <v>168</v>
      </c>
      <c r="K2" s="8">
        <v>2</v>
      </c>
    </row>
    <row r="3" spans="1:17" x14ac:dyDescent="0.25">
      <c r="A3" s="35"/>
      <c r="B3" s="35"/>
      <c r="C3" s="35"/>
      <c r="D3" s="35"/>
      <c r="E3" s="35"/>
      <c r="F3" s="35"/>
      <c r="J3" t="s">
        <v>169</v>
      </c>
      <c r="K3" s="21">
        <v>5</v>
      </c>
    </row>
    <row r="4" spans="1:17" x14ac:dyDescent="0.25">
      <c r="A4" s="35"/>
      <c r="B4" s="35"/>
      <c r="C4" s="35"/>
      <c r="D4" s="35"/>
      <c r="E4" s="35"/>
      <c r="F4" s="35"/>
      <c r="K4" s="21">
        <v>7</v>
      </c>
    </row>
    <row r="5" spans="1:17" x14ac:dyDescent="0.25">
      <c r="A5" s="35"/>
      <c r="B5" s="35"/>
      <c r="C5" s="35"/>
      <c r="D5" s="35"/>
      <c r="E5" s="35"/>
      <c r="F5" s="35"/>
    </row>
    <row r="6" spans="1:17" x14ac:dyDescent="0.25">
      <c r="A6" s="35"/>
      <c r="B6" s="35"/>
      <c r="C6" s="35"/>
      <c r="D6" s="35"/>
      <c r="E6" s="35"/>
      <c r="F6" s="35"/>
    </row>
    <row r="8" spans="1:17" ht="18.75" x14ac:dyDescent="0.3">
      <c r="A8" s="8" t="s">
        <v>46</v>
      </c>
      <c r="B8" s="8" t="s">
        <v>47</v>
      </c>
      <c r="C8" s="42" t="s">
        <v>48</v>
      </c>
      <c r="D8" s="42" t="s">
        <v>49</v>
      </c>
      <c r="E8" s="42" t="s">
        <v>50</v>
      </c>
      <c r="F8" s="42" t="s">
        <v>51</v>
      </c>
      <c r="G8" s="42" t="s">
        <v>51</v>
      </c>
      <c r="I8" s="10" t="s">
        <v>52</v>
      </c>
      <c r="J8" s="41"/>
      <c r="K8" s="8" t="s">
        <v>53</v>
      </c>
      <c r="L8" s="8" t="s">
        <v>54</v>
      </c>
      <c r="M8" s="8" t="s">
        <v>55</v>
      </c>
      <c r="N8" s="8" t="s">
        <v>56</v>
      </c>
      <c r="P8" s="8" t="s">
        <v>58</v>
      </c>
      <c r="Q8" s="8"/>
    </row>
    <row r="9" spans="1:17" ht="18.75" x14ac:dyDescent="0.3">
      <c r="A9" s="12">
        <v>0.375</v>
      </c>
      <c r="B9" s="8">
        <v>7</v>
      </c>
      <c r="C9" s="40" t="str">
        <f>J9</f>
        <v>GALCERAN-SÁNCHEZ</v>
      </c>
      <c r="D9" s="40" t="str">
        <f>J12</f>
        <v>HABELA-BIGAS</v>
      </c>
      <c r="E9" s="40" t="str">
        <f>J10</f>
        <v>MARTÍNEZ-VÁZQUEZ</v>
      </c>
      <c r="F9" s="26"/>
      <c r="G9" s="26"/>
      <c r="I9" s="10">
        <f t="shared" ref="I9:I14" si="0">RANK(K9,K$9:K$14,0)</f>
        <v>1</v>
      </c>
      <c r="J9" s="39" t="s">
        <v>138</v>
      </c>
      <c r="K9" s="8">
        <f>(IF(F9&gt;G9,1,IF(F9&lt;G9,0,))+(IF(F12&gt;G12,1,IF(F12&lt;G12,0,))+(IF(F18&gt;G18,1,IF(F18&lt;G18,0,))+(IF(F16&gt;G16,1,IF(F16&lt;G16,0,))+(IF(F21&gt;G21,1,IF(F21&lt;G21,0,)))))))</f>
        <v>0</v>
      </c>
      <c r="L9" s="8">
        <f>F9+F12+F18+F16+F21</f>
        <v>0</v>
      </c>
      <c r="M9" s="8">
        <f>G9+G12+G18+G16+G21</f>
        <v>0</v>
      </c>
      <c r="N9" s="27" t="e">
        <f t="shared" ref="N9:N14" si="1">L9/M9</f>
        <v>#DIV/0!</v>
      </c>
      <c r="P9" s="10">
        <v>1</v>
      </c>
      <c r="Q9" s="10" t="str">
        <f>IF($K10+$K11+$K12+K13+K14+K9=15,INDEX(J9:J14,MATCH($Q10,I9:I14,0)),"Pdte")</f>
        <v>Pdte</v>
      </c>
    </row>
    <row r="10" spans="1:17" ht="18.75" x14ac:dyDescent="0.3">
      <c r="A10" s="12">
        <v>0.3888888888888889</v>
      </c>
      <c r="B10" s="8">
        <v>7</v>
      </c>
      <c r="C10" s="40" t="str">
        <f>J11</f>
        <v>BENEDICTO-CAPDEVILA</v>
      </c>
      <c r="D10" s="40" t="str">
        <f>J14</f>
        <v>HEREDIA-PINA</v>
      </c>
      <c r="E10" s="40" t="str">
        <f>J10</f>
        <v>MARTÍNEZ-VÁZQUEZ</v>
      </c>
      <c r="F10" s="26"/>
      <c r="G10" s="26"/>
      <c r="I10" s="10">
        <f t="shared" si="0"/>
        <v>1</v>
      </c>
      <c r="J10" s="39" t="s">
        <v>139</v>
      </c>
      <c r="K10" s="8">
        <f>(IF(G16&gt;F16,1,IF(G16&lt;F16,0,))+(IF(F14&gt;G14,1,IF(F14&lt;G14,0,))+(IF(F22&gt;G22,1,IF(F22&lt;G22,0,))+(IF(F11&gt;G11,1,IF(F11&lt;G11,0,))+(IF(F20&gt;G20,1,IF(F20&lt;G20,0,)))))))</f>
        <v>0</v>
      </c>
      <c r="L10" s="8">
        <f>F14+F22+F11+F20+G16</f>
        <v>0</v>
      </c>
      <c r="M10" s="8">
        <f>G14+G22+F16+G11+G20</f>
        <v>0</v>
      </c>
      <c r="N10" s="27" t="e">
        <f t="shared" si="1"/>
        <v>#DIV/0!</v>
      </c>
      <c r="P10" s="10">
        <v>2</v>
      </c>
      <c r="Q10" s="10" t="str">
        <f>IF($K11+$K12+$K13+K14+K9+K10=15,INDEX(J9:J14,MATCH($Q11,I9:I14,0)),"Pdte")</f>
        <v>Pdte</v>
      </c>
    </row>
    <row r="11" spans="1:17" ht="18.75" x14ac:dyDescent="0.3">
      <c r="A11" s="12">
        <v>0.40277777777777801</v>
      </c>
      <c r="B11" s="8">
        <v>7</v>
      </c>
      <c r="C11" s="40" t="str">
        <f>J10</f>
        <v>MARTÍNEZ-VÁZQUEZ</v>
      </c>
      <c r="D11" s="40" t="str">
        <f>J13</f>
        <v>MORERA-FARIÑAS</v>
      </c>
      <c r="E11" s="40" t="str">
        <f>J12</f>
        <v>HABELA-BIGAS</v>
      </c>
      <c r="F11" s="26"/>
      <c r="G11" s="26"/>
      <c r="I11" s="10">
        <f t="shared" si="0"/>
        <v>1</v>
      </c>
      <c r="J11" s="39" t="s">
        <v>140</v>
      </c>
      <c r="K11" s="8">
        <f>(IF(F10&gt;G10,1,IF(F10&lt;G10,0,))+(IF(F13&gt;G13,1,IF(F13&lt;G13,0,))+(IF(F17&gt;G17,1,IF(F17&lt;G17,0,))+(IF(G20&gt;F20,1,IF(G20&lt;F20,0,))+(IF(G21&gt;F21,1,IF(G21&lt;F21,0,)))))))</f>
        <v>0</v>
      </c>
      <c r="L11" s="8">
        <f>F10+F13+F17+G20+G21</f>
        <v>0</v>
      </c>
      <c r="M11" s="8">
        <f>G10+G13+G17+F20+F21</f>
        <v>0</v>
      </c>
      <c r="N11" s="27" t="e">
        <f t="shared" si="1"/>
        <v>#DIV/0!</v>
      </c>
      <c r="P11" s="10">
        <v>3</v>
      </c>
      <c r="Q11" s="10" t="str">
        <f>IF($K12+$K13+$K14+K10+K9+K11=15,INDEX(J9:J14,MATCH($Q12,I9:I14,0)),"Pdte")</f>
        <v>Pdte</v>
      </c>
    </row>
    <row r="12" spans="1:17" ht="18.75" x14ac:dyDescent="0.3">
      <c r="A12" s="12">
        <v>0.41666666666666702</v>
      </c>
      <c r="B12" s="8">
        <v>7</v>
      </c>
      <c r="C12" s="40" t="str">
        <f>J9</f>
        <v>GALCERAN-SÁNCHEZ</v>
      </c>
      <c r="D12" s="40" t="str">
        <f>J14</f>
        <v>HEREDIA-PINA</v>
      </c>
      <c r="E12" s="40" t="str">
        <f>J12</f>
        <v>HABELA-BIGAS</v>
      </c>
      <c r="F12" s="26"/>
      <c r="G12" s="26"/>
      <c r="I12" s="10">
        <f t="shared" si="0"/>
        <v>1</v>
      </c>
      <c r="J12" s="39" t="s">
        <v>142</v>
      </c>
      <c r="K12" s="8">
        <f>(IF(G9&gt;F9,1,IF(G9&lt;F9,0,))+(IF(F23&gt;G23,1,IF(F23&lt;G23,0,))+(IF(F19&gt;G19,1,IF(F19&lt;G19,0,))+(IF(G14&gt;F14,1,IF(G14&lt;F14,0,))+(IF(G17&gt;F17,1,IF(G17&lt;F17,0,)))))))</f>
        <v>0</v>
      </c>
      <c r="L12" s="8">
        <f>G9+G17+F23+G14+F19</f>
        <v>0</v>
      </c>
      <c r="M12" s="8">
        <f>F9+F17+G23+F14+G19</f>
        <v>0</v>
      </c>
      <c r="N12" s="27" t="e">
        <f t="shared" si="1"/>
        <v>#DIV/0!</v>
      </c>
      <c r="P12" s="10">
        <v>4</v>
      </c>
      <c r="Q12" s="10" t="str">
        <f>IF($K13+$K14+$K10+K9+K11+K12=15,INDEX(J9:J14,MATCH($Q13,I9:I14,0)),"Pdte")</f>
        <v>Pdte</v>
      </c>
    </row>
    <row r="13" spans="1:17" ht="18.75" x14ac:dyDescent="0.3">
      <c r="A13" s="12">
        <v>0.43055555555555602</v>
      </c>
      <c r="B13" s="8">
        <v>7</v>
      </c>
      <c r="C13" s="40" t="str">
        <f>J11</f>
        <v>BENEDICTO-CAPDEVILA</v>
      </c>
      <c r="D13" s="40" t="str">
        <f>J13</f>
        <v>MORERA-FARIÑAS</v>
      </c>
      <c r="E13" s="40" t="str">
        <f>J11</f>
        <v>BENEDICTO-CAPDEVILA</v>
      </c>
      <c r="F13" s="26"/>
      <c r="G13" s="26"/>
      <c r="I13" s="10">
        <f t="shared" si="0"/>
        <v>1</v>
      </c>
      <c r="J13" s="39" t="s">
        <v>143</v>
      </c>
      <c r="K13" s="8">
        <f>(IF(G13&gt;F13,1,IF(G13&lt;F13,0,))+(IF(G18&gt;F18,1,IF(G18&lt;F18,0,))+(IF(F15&gt;G15,1,IF(F15&lt;G15,0,))+(IF(G23&gt;F23,1,IF(G23&lt;F23,0,))+(IF(G11&gt;F11,1,IF(G11&lt;F11,0,)))))))</f>
        <v>0</v>
      </c>
      <c r="L13" s="8">
        <f>G13+G18+F15+G11+G23</f>
        <v>0</v>
      </c>
      <c r="M13" s="8">
        <f>F13+F18+G15+F23+F11</f>
        <v>0</v>
      </c>
      <c r="N13" s="27" t="e">
        <f t="shared" si="1"/>
        <v>#DIV/0!</v>
      </c>
      <c r="P13" s="10">
        <v>5</v>
      </c>
      <c r="Q13" s="10" t="str">
        <f>IF($K14+$K12+$K11+K10+K9+K13=15,INDEX(J9:J14,MATCH($Q14,I9:I14,0)),"Pdte")</f>
        <v>Pdte</v>
      </c>
    </row>
    <row r="14" spans="1:17" ht="18.75" x14ac:dyDescent="0.3">
      <c r="A14" s="12">
        <v>0.44444444444444497</v>
      </c>
      <c r="B14" s="8">
        <v>7</v>
      </c>
      <c r="C14" s="40" t="str">
        <f>J10</f>
        <v>MARTÍNEZ-VÁZQUEZ</v>
      </c>
      <c r="D14" s="40" t="str">
        <f>J12</f>
        <v>HABELA-BIGAS</v>
      </c>
      <c r="E14" s="40" t="str">
        <f>J11</f>
        <v>BENEDICTO-CAPDEVILA</v>
      </c>
      <c r="F14" s="26"/>
      <c r="G14" s="26"/>
      <c r="I14" s="10">
        <f t="shared" si="0"/>
        <v>1</v>
      </c>
      <c r="J14" s="39" t="s">
        <v>45</v>
      </c>
      <c r="K14" s="8">
        <f>(IF(G10&gt;F10,1,IF(G10&lt;F10,0,))+(IF(G12&gt;F12,1,IF(G12&lt;F12,0,))+(IF(G15&gt;F15,1,IF(G15&lt;F15,0,))+(IF(G19&gt;F19,1,IF(G19&lt;F19,0,))+(IF(G22&gt;F22,1,IF(G22&lt;F22,0,)))))))</f>
        <v>0</v>
      </c>
      <c r="L14" s="8">
        <f>G10+G12+G15+G19+G22</f>
        <v>0</v>
      </c>
      <c r="M14" s="8">
        <f>F10+F12+F15+F19+F22</f>
        <v>0</v>
      </c>
      <c r="N14" s="27" t="e">
        <f t="shared" si="1"/>
        <v>#DIV/0!</v>
      </c>
      <c r="P14" s="10">
        <v>6</v>
      </c>
      <c r="Q14" s="10" t="str">
        <f>IF($K12+$K13+$K11+K10+K9+K14=15,INDEX(J9:J14,MATCH($Q15,I9:I14,0)),"Pdte")</f>
        <v>Pdte</v>
      </c>
    </row>
    <row r="15" spans="1:17" ht="20.25" customHeight="1" x14ac:dyDescent="0.25">
      <c r="A15" s="12">
        <v>0.45833333333333298</v>
      </c>
      <c r="B15" s="8">
        <v>7</v>
      </c>
      <c r="C15" s="40" t="str">
        <f>J13</f>
        <v>MORERA-FARIÑAS</v>
      </c>
      <c r="D15" s="40" t="str">
        <f>J14</f>
        <v>HEREDIA-PINA</v>
      </c>
      <c r="E15" s="40" t="str">
        <f>J9</f>
        <v>GALCERAN-SÁNCHEZ</v>
      </c>
      <c r="F15" s="26"/>
      <c r="G15" s="26"/>
    </row>
    <row r="16" spans="1:17" ht="20.25" customHeight="1" x14ac:dyDescent="0.25">
      <c r="A16" s="12">
        <v>0.47222222222222199</v>
      </c>
      <c r="B16" s="8">
        <v>7</v>
      </c>
      <c r="C16" s="40" t="str">
        <f>J9</f>
        <v>GALCERAN-SÁNCHEZ</v>
      </c>
      <c r="D16" s="40" t="str">
        <f>J10</f>
        <v>MARTÍNEZ-VÁZQUEZ</v>
      </c>
      <c r="E16" s="40" t="str">
        <f>J9</f>
        <v>GALCERAN-SÁNCHEZ</v>
      </c>
      <c r="F16" s="26"/>
      <c r="G16" s="26"/>
    </row>
    <row r="17" spans="1:14" ht="20.25" customHeight="1" x14ac:dyDescent="0.25">
      <c r="A17" s="12">
        <v>0.48611111111111099</v>
      </c>
      <c r="B17" s="8">
        <v>7</v>
      </c>
      <c r="C17" s="40" t="str">
        <f>J11</f>
        <v>BENEDICTO-CAPDEVILA</v>
      </c>
      <c r="D17" s="40" t="str">
        <f>J12</f>
        <v>HABELA-BIGAS</v>
      </c>
      <c r="E17" s="40" t="str">
        <f>J10</f>
        <v>MARTÍNEZ-VÁZQUEZ</v>
      </c>
      <c r="F17" s="26"/>
      <c r="G17" s="26"/>
    </row>
    <row r="18" spans="1:14" ht="20.25" customHeight="1" x14ac:dyDescent="0.25">
      <c r="A18" s="12">
        <v>0.5</v>
      </c>
      <c r="B18" s="8">
        <v>7</v>
      </c>
      <c r="C18" s="40" t="str">
        <f>J9</f>
        <v>GALCERAN-SÁNCHEZ</v>
      </c>
      <c r="D18" s="40" t="str">
        <f>J13</f>
        <v>MORERA-FARIÑAS</v>
      </c>
      <c r="E18" s="40" t="str">
        <f>J10</f>
        <v>MARTÍNEZ-VÁZQUEZ</v>
      </c>
      <c r="F18" s="26"/>
      <c r="G18" s="26"/>
    </row>
    <row r="19" spans="1:14" ht="20.25" customHeight="1" x14ac:dyDescent="0.25">
      <c r="A19" s="12">
        <v>0.51388888888888895</v>
      </c>
      <c r="B19" s="8">
        <v>7</v>
      </c>
      <c r="C19" s="40" t="str">
        <f>J12</f>
        <v>HABELA-BIGAS</v>
      </c>
      <c r="D19" s="40" t="str">
        <f>J14</f>
        <v>HEREDIA-PINA</v>
      </c>
      <c r="E19" s="40" t="str">
        <f>J13</f>
        <v>MORERA-FARIÑAS</v>
      </c>
      <c r="F19" s="26"/>
      <c r="G19" s="26"/>
    </row>
    <row r="20" spans="1:14" ht="20.25" customHeight="1" x14ac:dyDescent="0.25">
      <c r="A20" s="12">
        <v>0.52777777777777801</v>
      </c>
      <c r="B20" s="8">
        <v>7</v>
      </c>
      <c r="C20" s="40" t="str">
        <f>J10</f>
        <v>MARTÍNEZ-VÁZQUEZ</v>
      </c>
      <c r="D20" s="40" t="str">
        <f>J11</f>
        <v>BENEDICTO-CAPDEVILA</v>
      </c>
      <c r="E20" s="40" t="str">
        <f>J13</f>
        <v>MORERA-FARIÑAS</v>
      </c>
      <c r="F20" s="26"/>
      <c r="G20" s="26"/>
    </row>
    <row r="21" spans="1:14" ht="20.25" customHeight="1" x14ac:dyDescent="0.25">
      <c r="A21" s="12">
        <v>0.54166666666666696</v>
      </c>
      <c r="B21" s="8">
        <v>7</v>
      </c>
      <c r="C21" s="40" t="str">
        <f>J9</f>
        <v>GALCERAN-SÁNCHEZ</v>
      </c>
      <c r="D21" s="40" t="str">
        <f>J11</f>
        <v>BENEDICTO-CAPDEVILA</v>
      </c>
      <c r="E21" s="40" t="str">
        <f>J12</f>
        <v>HABELA-BIGAS</v>
      </c>
      <c r="F21" s="26"/>
      <c r="G21" s="26"/>
    </row>
    <row r="22" spans="1:14" ht="20.25" customHeight="1" x14ac:dyDescent="0.25">
      <c r="A22" s="12">
        <v>0.55555555555555602</v>
      </c>
      <c r="B22" s="8">
        <v>7</v>
      </c>
      <c r="C22" s="40" t="str">
        <f>J10</f>
        <v>MARTÍNEZ-VÁZQUEZ</v>
      </c>
      <c r="D22" s="40" t="str">
        <f>J14</f>
        <v>HEREDIA-PINA</v>
      </c>
      <c r="E22" s="40" t="str">
        <f>J12</f>
        <v>HABELA-BIGAS</v>
      </c>
      <c r="F22" s="26"/>
      <c r="G22" s="26"/>
      <c r="N22" s="11"/>
    </row>
    <row r="23" spans="1:14" ht="20.25" customHeight="1" x14ac:dyDescent="0.25">
      <c r="A23" s="12">
        <v>0.56944444444444497</v>
      </c>
      <c r="B23" s="8">
        <v>7</v>
      </c>
      <c r="C23" s="40" t="str">
        <f>J12</f>
        <v>HABELA-BIGAS</v>
      </c>
      <c r="D23" s="40" t="str">
        <f>J13</f>
        <v>MORERA-FARIÑAS</v>
      </c>
      <c r="E23" s="40" t="str">
        <f>J11</f>
        <v>BENEDICTO-CAPDEVILA</v>
      </c>
      <c r="F23" s="26"/>
      <c r="G23" s="26"/>
      <c r="N23" s="11"/>
    </row>
    <row r="26" spans="1:14" ht="21.75" customHeight="1" x14ac:dyDescent="0.25">
      <c r="A26" s="8" t="s">
        <v>46</v>
      </c>
      <c r="B26" s="8" t="s">
        <v>47</v>
      </c>
      <c r="C26" s="9" t="s">
        <v>48</v>
      </c>
      <c r="D26" s="9" t="s">
        <v>49</v>
      </c>
      <c r="E26" s="8" t="s">
        <v>170</v>
      </c>
      <c r="F26" s="9" t="s">
        <v>51</v>
      </c>
      <c r="G26" s="9" t="s">
        <v>51</v>
      </c>
      <c r="I26" s="1"/>
    </row>
    <row r="27" spans="1:14" ht="21.75" customHeight="1" x14ac:dyDescent="0.25">
      <c r="A27" s="17"/>
      <c r="B27" s="17"/>
      <c r="C27" s="1"/>
      <c r="D27" s="1"/>
      <c r="E27" s="1"/>
      <c r="F27" s="1"/>
      <c r="G27" s="1"/>
      <c r="I27" s="1"/>
    </row>
    <row r="28" spans="1:14" ht="21.75" customHeight="1" x14ac:dyDescent="0.25">
      <c r="A28" s="17"/>
      <c r="B28" s="17" t="s">
        <v>64</v>
      </c>
      <c r="C28" s="9" t="s">
        <v>194</v>
      </c>
      <c r="D28" s="9" t="s">
        <v>193</v>
      </c>
      <c r="F28" s="1"/>
      <c r="G28" s="1"/>
      <c r="I28" s="1"/>
    </row>
    <row r="29" spans="1:14" ht="21.75" customHeight="1" x14ac:dyDescent="0.25">
      <c r="A29" s="38">
        <v>0.58333333333333337</v>
      </c>
      <c r="B29" s="8">
        <f>K4</f>
        <v>7</v>
      </c>
      <c r="C29" s="9" t="str">
        <f>IF(Q9="Pdte"," ",Q9)</f>
        <v xml:space="preserve"> </v>
      </c>
      <c r="D29" s="9" t="str">
        <f>IF(Q10="Pdte"," ",Q10)</f>
        <v xml:space="preserve"> </v>
      </c>
      <c r="E29" s="9" t="s">
        <v>191</v>
      </c>
      <c r="F29" s="13"/>
      <c r="G29" s="14"/>
      <c r="I29" s="1"/>
    </row>
  </sheetData>
  <mergeCells count="1">
    <mergeCell ref="A1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7" workbookViewId="0">
      <selection activeCell="E17" sqref="E17"/>
    </sheetView>
  </sheetViews>
  <sheetFormatPr baseColWidth="10" defaultColWidth="11.42578125" defaultRowHeight="15" x14ac:dyDescent="0.25"/>
  <cols>
    <col min="1" max="1" width="9.7109375" bestFit="1" customWidth="1"/>
    <col min="2" max="2" width="5.28515625" bestFit="1" customWidth="1"/>
    <col min="3" max="4" width="19.42578125" customWidth="1"/>
    <col min="5" max="5" width="19.42578125" style="1" customWidth="1"/>
    <col min="6" max="6" width="11.42578125" style="1"/>
    <col min="10" max="10" width="21.28515625" style="1" bestFit="1" customWidth="1"/>
    <col min="11" max="11" width="15.28515625" bestFit="1" customWidth="1"/>
    <col min="12" max="12" width="6.5703125" bestFit="1" customWidth="1"/>
    <col min="13" max="13" width="6.7109375" bestFit="1" customWidth="1"/>
    <col min="18" max="18" width="19.140625" customWidth="1"/>
  </cols>
  <sheetData>
    <row r="1" spans="1:18" ht="15" customHeight="1" x14ac:dyDescent="0.25">
      <c r="A1" s="35" t="s">
        <v>200</v>
      </c>
      <c r="B1" s="35"/>
      <c r="C1" s="35"/>
      <c r="D1" s="35"/>
      <c r="E1" s="35"/>
      <c r="F1" s="35"/>
      <c r="G1" s="35"/>
      <c r="K1" s="18" t="s">
        <v>60</v>
      </c>
      <c r="L1" s="19">
        <v>0.64583333333333337</v>
      </c>
    </row>
    <row r="2" spans="1:18" ht="15" customHeight="1" x14ac:dyDescent="0.25">
      <c r="A2" s="35"/>
      <c r="B2" s="35"/>
      <c r="C2" s="35"/>
      <c r="D2" s="35"/>
      <c r="E2" s="35"/>
      <c r="F2" s="35"/>
      <c r="G2" s="35"/>
      <c r="K2" s="20" t="s">
        <v>168</v>
      </c>
      <c r="L2" s="8">
        <v>2</v>
      </c>
    </row>
    <row r="3" spans="1:18" ht="15" customHeight="1" x14ac:dyDescent="0.25">
      <c r="A3" s="35"/>
      <c r="B3" s="35"/>
      <c r="C3" s="35"/>
      <c r="D3" s="35"/>
      <c r="E3" s="35"/>
      <c r="F3" s="35"/>
      <c r="G3" s="35"/>
      <c r="K3" t="s">
        <v>169</v>
      </c>
      <c r="L3" s="21">
        <v>5</v>
      </c>
    </row>
    <row r="4" spans="1:18" ht="15" customHeight="1" x14ac:dyDescent="0.25">
      <c r="A4" s="35"/>
      <c r="B4" s="35"/>
      <c r="C4" s="35"/>
      <c r="D4" s="35"/>
      <c r="E4" s="35"/>
      <c r="F4" s="35"/>
      <c r="G4" s="35"/>
      <c r="L4" s="21">
        <v>7</v>
      </c>
    </row>
    <row r="5" spans="1:18" ht="15" customHeight="1" x14ac:dyDescent="0.25">
      <c r="A5" s="35"/>
      <c r="B5" s="35"/>
      <c r="C5" s="35"/>
      <c r="D5" s="35"/>
      <c r="E5" s="35"/>
      <c r="F5" s="35"/>
      <c r="G5" s="35"/>
    </row>
    <row r="6" spans="1:18" ht="15" customHeight="1" x14ac:dyDescent="0.25">
      <c r="A6" s="35"/>
      <c r="B6" s="35"/>
      <c r="C6" s="35"/>
      <c r="D6" s="35"/>
      <c r="E6" s="35"/>
      <c r="F6" s="35"/>
      <c r="G6" s="35"/>
    </row>
    <row r="7" spans="1:18" ht="61.5" x14ac:dyDescent="0.9">
      <c r="A7" s="22"/>
      <c r="B7" s="22"/>
      <c r="C7" s="22"/>
      <c r="D7" s="32"/>
      <c r="E7" s="32"/>
      <c r="F7" s="32"/>
      <c r="G7" s="32"/>
    </row>
    <row r="8" spans="1:18" ht="21.75" customHeight="1" x14ac:dyDescent="0.25">
      <c r="A8" s="8" t="s">
        <v>46</v>
      </c>
      <c r="B8" s="8" t="s">
        <v>47</v>
      </c>
      <c r="C8" s="8" t="s">
        <v>48</v>
      </c>
      <c r="D8" s="8" t="s">
        <v>49</v>
      </c>
      <c r="E8" s="8" t="s">
        <v>50</v>
      </c>
      <c r="F8" s="8" t="s">
        <v>61</v>
      </c>
      <c r="G8" s="8" t="s">
        <v>51</v>
      </c>
    </row>
    <row r="9" spans="1:18" ht="21.75" customHeight="1" x14ac:dyDescent="0.25">
      <c r="A9" s="12">
        <v>0.375</v>
      </c>
      <c r="B9" s="8">
        <f>L3</f>
        <v>5</v>
      </c>
      <c r="C9" s="40" t="str">
        <f>J13</f>
        <v>MERCADER-ANDÍA</v>
      </c>
      <c r="D9" s="40" t="str">
        <f>J14</f>
        <v>MASERAS-PILANCHO</v>
      </c>
      <c r="E9" s="40" t="str">
        <f>J11</f>
        <v>SUAREZ-VERA</v>
      </c>
      <c r="F9" s="23"/>
      <c r="G9" s="23"/>
    </row>
    <row r="10" spans="1:18" ht="18.75" x14ac:dyDescent="0.3">
      <c r="A10" s="12">
        <v>0.3888888888888889</v>
      </c>
      <c r="B10" s="8">
        <f>L3</f>
        <v>5</v>
      </c>
      <c r="C10" s="40" t="str">
        <f>J11</f>
        <v>SUAREZ-VERA</v>
      </c>
      <c r="D10" s="40" t="str">
        <f>J15</f>
        <v>PALOMAR-BARREIRO</v>
      </c>
      <c r="E10" s="40" t="str">
        <f>J12</f>
        <v>CARBÓ-ERICKSON</v>
      </c>
      <c r="F10" s="23"/>
      <c r="G10" s="23"/>
      <c r="I10" s="10" t="s">
        <v>52</v>
      </c>
      <c r="J10" s="17" t="s">
        <v>59</v>
      </c>
      <c r="K10" s="8" t="s">
        <v>53</v>
      </c>
      <c r="L10" s="8" t="s">
        <v>54</v>
      </c>
      <c r="M10" s="8" t="s">
        <v>55</v>
      </c>
      <c r="N10" s="9" t="s">
        <v>56</v>
      </c>
      <c r="O10" s="9" t="s">
        <v>62</v>
      </c>
      <c r="Q10" s="8" t="s">
        <v>58</v>
      </c>
      <c r="R10" s="8" t="s">
        <v>59</v>
      </c>
    </row>
    <row r="11" spans="1:18" ht="18.75" x14ac:dyDescent="0.3">
      <c r="A11" s="12">
        <v>0.40277777777777801</v>
      </c>
      <c r="B11" s="8">
        <f>L3</f>
        <v>5</v>
      </c>
      <c r="C11" s="40" t="str">
        <f>J12</f>
        <v>CARBÓ-ERICKSON</v>
      </c>
      <c r="D11" s="40" t="str">
        <f>J14</f>
        <v>MASERAS-PILANCHO</v>
      </c>
      <c r="E11" s="40" t="str">
        <f>J13</f>
        <v>MERCADER-ANDÍA</v>
      </c>
      <c r="F11" s="23"/>
      <c r="G11" s="23"/>
      <c r="I11" s="10">
        <f>RANK(O11,O$11:O$15,0)</f>
        <v>1</v>
      </c>
      <c r="J11" s="9" t="s">
        <v>198</v>
      </c>
      <c r="K11" s="8">
        <f>(IF(F10&gt;G10,1,IF(F10&lt;G10,0,))+(IF(F12&gt;G12,1,IF(F12&lt;G12,0,))+(IF(F14&gt;G14,1,IF(F14&lt;G14,0,))+(IF(F17&gt;G17,1,IF(F17&lt;G17,0,))))))</f>
        <v>0</v>
      </c>
      <c r="L11" s="8">
        <f>F10+F12+F14+F17</f>
        <v>0</v>
      </c>
      <c r="M11" s="8">
        <f>G10+G12+G14+G17</f>
        <v>0</v>
      </c>
      <c r="N11" s="15" t="str">
        <f>IFERROR(L11/M11,"Max")</f>
        <v>Max</v>
      </c>
      <c r="O11" s="15">
        <f>IF(N11="Max",500,(K11*100)+N11)</f>
        <v>500</v>
      </c>
      <c r="Q11" s="16">
        <v>1</v>
      </c>
      <c r="R11" s="10" t="str">
        <f>IF($K11+$K12+$K13+$K14+K15=10,INDEX(J11:J15,MATCH($Q11,I11:I15,0)),"Pdte")</f>
        <v>Pdte</v>
      </c>
    </row>
    <row r="12" spans="1:18" ht="18.75" x14ac:dyDescent="0.3">
      <c r="A12" s="12">
        <v>0.41666666666666702</v>
      </c>
      <c r="B12" s="8">
        <f>L3</f>
        <v>5</v>
      </c>
      <c r="C12" s="40" t="str">
        <f>J11</f>
        <v>SUAREZ-VERA</v>
      </c>
      <c r="D12" s="40" t="str">
        <f>J13</f>
        <v>MERCADER-ANDÍA</v>
      </c>
      <c r="E12" s="40" t="str">
        <f>J15</f>
        <v>PALOMAR-BARREIRO</v>
      </c>
      <c r="F12" s="23"/>
      <c r="G12" s="23"/>
      <c r="I12" s="10">
        <f t="shared" ref="I12:I14" si="0">RANK(O12,O$11:O$15,0)</f>
        <v>1</v>
      </c>
      <c r="J12" s="9" t="s">
        <v>25</v>
      </c>
      <c r="K12" s="8">
        <f>(IF(F11&gt;G11,1,IF(F11&lt;G11,0,))+(IF(F13&gt;G13,1,IF(F13&lt;G13,0,))+(IF(F15&gt;G15,1,IF(F15&lt;G15,0,))+IF(G17&gt;F17,1,IF(G17&lt;F17,0,)))))</f>
        <v>0</v>
      </c>
      <c r="L12" s="8">
        <f>F11+F13+F15+G17</f>
        <v>0</v>
      </c>
      <c r="M12" s="8">
        <f>G11+G13+G15+F17</f>
        <v>0</v>
      </c>
      <c r="N12" s="15" t="str">
        <f t="shared" ref="N12:N15" si="1">IFERROR(L12/M12,"Max")</f>
        <v>Max</v>
      </c>
      <c r="O12" s="15">
        <f t="shared" ref="O12:O14" si="2">IF(N12="Max",500,(K12*100)+N12)</f>
        <v>500</v>
      </c>
      <c r="Q12" s="16">
        <v>2</v>
      </c>
      <c r="R12" s="10" t="str">
        <f>IF($K12+$K13+$K14+$K15+K11=10,INDEX(J11:J15,MATCH($Q12,I11:I15,0)),"Pdte")</f>
        <v>Pdte</v>
      </c>
    </row>
    <row r="13" spans="1:18" ht="18.75" x14ac:dyDescent="0.3">
      <c r="A13" s="12">
        <v>0.43055555555555602</v>
      </c>
      <c r="B13" s="8">
        <f>L3</f>
        <v>5</v>
      </c>
      <c r="C13" s="40" t="str">
        <f>J12</f>
        <v>CARBÓ-ERICKSON</v>
      </c>
      <c r="D13" s="40" t="str">
        <f>J15</f>
        <v>PALOMAR-BARREIRO</v>
      </c>
      <c r="E13" s="40" t="str">
        <f>J14</f>
        <v>MASERAS-PILANCHO</v>
      </c>
      <c r="F13" s="23"/>
      <c r="G13" s="23"/>
      <c r="I13" s="10">
        <f t="shared" si="0"/>
        <v>1</v>
      </c>
      <c r="J13" s="9" t="s">
        <v>130</v>
      </c>
      <c r="K13" s="8">
        <f>(IF(F9&gt;G9,1,IF(F9&lt;G9,0,))+(IF(G12&gt;F12,1,IF(G12&lt;F12,0,))+(IF(G15&gt;F15,1,IF(G15&lt;F15,0,))+(IF(F18&gt;G18,1,IF(F18&lt;G18,0,))))))</f>
        <v>0</v>
      </c>
      <c r="L13" s="8">
        <f>G12+G15+F9+F18</f>
        <v>0</v>
      </c>
      <c r="M13" s="8">
        <f>F12+F15+G9+G18</f>
        <v>0</v>
      </c>
      <c r="N13" s="15" t="str">
        <f t="shared" si="1"/>
        <v>Max</v>
      </c>
      <c r="O13" s="15">
        <f t="shared" si="2"/>
        <v>500</v>
      </c>
      <c r="Q13" s="16">
        <v>3</v>
      </c>
      <c r="R13" s="10" t="str">
        <f>IF($K13+$K14+$K15+$K12+K11=10,INDEX(J11:J15,MATCH($Q13,I11:I15,0)),"Pdte")</f>
        <v>Pdte</v>
      </c>
    </row>
    <row r="14" spans="1:18" ht="18.75" x14ac:dyDescent="0.3">
      <c r="A14" s="12">
        <v>0.44444444444444497</v>
      </c>
      <c r="B14" s="8">
        <f>L3</f>
        <v>5</v>
      </c>
      <c r="C14" s="40" t="str">
        <f>J11</f>
        <v>SUAREZ-VERA</v>
      </c>
      <c r="D14" s="40" t="str">
        <f>J14</f>
        <v>MASERAS-PILANCHO</v>
      </c>
      <c r="E14" s="40" t="str">
        <f>J12</f>
        <v>CARBÓ-ERICKSON</v>
      </c>
      <c r="F14" s="23"/>
      <c r="G14" s="23"/>
      <c r="I14" s="10">
        <f t="shared" si="0"/>
        <v>1</v>
      </c>
      <c r="J14" s="9" t="s">
        <v>199</v>
      </c>
      <c r="K14" s="8">
        <f>(IF(G9&gt;F9,1,IF(G9&lt;F9,0,))+(IF(G11&gt;F11,1,IF(G11&lt;F11,0,))+(IF(G14&gt;F14,1,IF(G14&lt;F14,0,))+(IF(F16&gt;G16,1,IF(F16&lt;G16,0,))))))</f>
        <v>0</v>
      </c>
      <c r="L14" s="8">
        <f>G11+G14+G9+F16</f>
        <v>0</v>
      </c>
      <c r="M14" s="8">
        <f>F11+F14+F9+G16</f>
        <v>0</v>
      </c>
      <c r="N14" s="15" t="str">
        <f t="shared" si="1"/>
        <v>Max</v>
      </c>
      <c r="O14" s="15">
        <f t="shared" si="2"/>
        <v>500</v>
      </c>
      <c r="Q14" s="16">
        <v>4</v>
      </c>
      <c r="R14" s="10" t="str">
        <f>IF($K14+$K15+$K13+$K12+K11=10,INDEX(J11:J15,MATCH($Q14,I11:I15,0)),"Pdte")</f>
        <v>Pdte</v>
      </c>
    </row>
    <row r="15" spans="1:18" ht="18.75" x14ac:dyDescent="0.3">
      <c r="A15" s="12">
        <v>0.45833333333333298</v>
      </c>
      <c r="B15" s="8">
        <f>L3</f>
        <v>5</v>
      </c>
      <c r="C15" s="40" t="str">
        <f>J12</f>
        <v>CARBÓ-ERICKSON</v>
      </c>
      <c r="D15" s="40" t="str">
        <f>J13</f>
        <v>MERCADER-ANDÍA</v>
      </c>
      <c r="E15" s="40" t="str">
        <f>J11</f>
        <v>SUAREZ-VERA</v>
      </c>
      <c r="F15" s="23"/>
      <c r="G15" s="23"/>
      <c r="I15" s="10">
        <f>RANK(O15,O$11:O$15,0)</f>
        <v>1</v>
      </c>
      <c r="J15" s="9" t="s">
        <v>204</v>
      </c>
      <c r="K15" s="8">
        <f>(IF(G10&gt;F10,1,IF(G10&lt;F10,0,))+(IF(G13&gt;F13,1,IF(G13&lt;F13,0,))+(IF(G16&gt;F16,1,IF(G16&lt;F16,0,))+(IF(G18&gt;F18,1,IF(G18&lt;F18,0,))))))</f>
        <v>0</v>
      </c>
      <c r="L15" s="8">
        <f>G10+G13+G16+G18</f>
        <v>0</v>
      </c>
      <c r="M15" s="8">
        <f>F10+F13+F16+F18</f>
        <v>0</v>
      </c>
      <c r="N15" s="15" t="str">
        <f t="shared" si="1"/>
        <v>Max</v>
      </c>
      <c r="O15" s="15">
        <f>IF(N15="Max",500,(K15*100)+N15)</f>
        <v>500</v>
      </c>
      <c r="Q15" s="16">
        <v>5</v>
      </c>
      <c r="R15" s="10" t="str">
        <f>IF($K15+$K14+$K13+$K12+K11=10,INDEX(J11:J15,MATCH($Q15,I11:I15,0)),"Pdte")</f>
        <v>Pdte</v>
      </c>
    </row>
    <row r="16" spans="1:18" ht="21.75" customHeight="1" x14ac:dyDescent="0.25">
      <c r="A16" s="12">
        <v>0.47222222222222199</v>
      </c>
      <c r="B16" s="8">
        <f>L3</f>
        <v>5</v>
      </c>
      <c r="C16" s="40" t="str">
        <f>J14</f>
        <v>MASERAS-PILANCHO</v>
      </c>
      <c r="D16" s="40" t="str">
        <f>J15</f>
        <v>PALOMAR-BARREIRO</v>
      </c>
      <c r="E16" s="40" t="str">
        <f>J13</f>
        <v>MERCADER-ANDÍA</v>
      </c>
      <c r="F16" s="23"/>
      <c r="G16" s="23"/>
    </row>
    <row r="17" spans="1:18" ht="21.75" customHeight="1" x14ac:dyDescent="0.25">
      <c r="A17" s="12">
        <v>0.48611111111111099</v>
      </c>
      <c r="B17" s="8">
        <f>L3</f>
        <v>5</v>
      </c>
      <c r="C17" s="40" t="str">
        <f>J11</f>
        <v>SUAREZ-VERA</v>
      </c>
      <c r="D17" s="40" t="str">
        <f>J12</f>
        <v>CARBÓ-ERICKSON</v>
      </c>
      <c r="E17" s="40" t="str">
        <f>J15</f>
        <v>PALOMAR-BARREIRO</v>
      </c>
      <c r="F17" s="23"/>
      <c r="G17" s="23"/>
    </row>
    <row r="18" spans="1:18" ht="21.75" customHeight="1" x14ac:dyDescent="0.25">
      <c r="A18" s="12">
        <v>0.5</v>
      </c>
      <c r="B18" s="8">
        <f>L3</f>
        <v>5</v>
      </c>
      <c r="C18" s="40" t="str">
        <f>J13</f>
        <v>MERCADER-ANDÍA</v>
      </c>
      <c r="D18" s="40" t="str">
        <f>J15</f>
        <v>PALOMAR-BARREIRO</v>
      </c>
      <c r="E18" s="40" t="str">
        <f>J14</f>
        <v>MASERAS-PILANCHO</v>
      </c>
      <c r="F18" s="23"/>
      <c r="G18" s="23"/>
      <c r="I18" s="24"/>
      <c r="L18" s="24"/>
    </row>
    <row r="19" spans="1:18" ht="21.75" customHeight="1" x14ac:dyDescent="0.25"/>
    <row r="20" spans="1:18" ht="21.75" customHeight="1" x14ac:dyDescent="0.25">
      <c r="A20" s="8" t="s">
        <v>46</v>
      </c>
      <c r="B20" s="8" t="s">
        <v>47</v>
      </c>
      <c r="C20" s="8" t="s">
        <v>48</v>
      </c>
      <c r="D20" s="8" t="s">
        <v>49</v>
      </c>
      <c r="E20" s="8" t="s">
        <v>50</v>
      </c>
      <c r="F20" s="8" t="s">
        <v>61</v>
      </c>
      <c r="G20" s="8" t="s">
        <v>51</v>
      </c>
    </row>
    <row r="21" spans="1:18" ht="21.75" customHeight="1" x14ac:dyDescent="0.25">
      <c r="A21" s="12">
        <v>0.375</v>
      </c>
      <c r="B21" s="8">
        <v>6</v>
      </c>
      <c r="C21" s="40" t="str">
        <f>J25</f>
        <v>BERNSTORFF-ALABART</v>
      </c>
      <c r="D21" s="40" t="str">
        <f>J26</f>
        <v>OBRADO-PEREZ</v>
      </c>
      <c r="E21" s="40" t="str">
        <f>J23</f>
        <v>BRÄUTIGAM-CAMAS</v>
      </c>
      <c r="F21" s="23"/>
      <c r="G21" s="23"/>
    </row>
    <row r="22" spans="1:18" ht="18.75" x14ac:dyDescent="0.3">
      <c r="A22" s="12">
        <v>0.3888888888888889</v>
      </c>
      <c r="B22" s="8">
        <v>6</v>
      </c>
      <c r="C22" s="40" t="str">
        <f>J23</f>
        <v>BRÄUTIGAM-CAMAS</v>
      </c>
      <c r="D22" s="40" t="str">
        <f>J27</f>
        <v>RECKE - RIBA</v>
      </c>
      <c r="E22" s="40" t="str">
        <f>J24</f>
        <v>DEVOUGE-SENDRA</v>
      </c>
      <c r="F22" s="23"/>
      <c r="G22" s="23"/>
      <c r="I22" s="10" t="s">
        <v>52</v>
      </c>
      <c r="J22" s="17" t="s">
        <v>63</v>
      </c>
      <c r="K22" s="8" t="s">
        <v>53</v>
      </c>
      <c r="L22" s="8" t="s">
        <v>54</v>
      </c>
      <c r="M22" s="8" t="s">
        <v>55</v>
      </c>
      <c r="N22" s="9" t="s">
        <v>56</v>
      </c>
      <c r="O22" s="9" t="s">
        <v>62</v>
      </c>
      <c r="Q22" s="8" t="s">
        <v>58</v>
      </c>
      <c r="R22" s="8" t="s">
        <v>63</v>
      </c>
    </row>
    <row r="23" spans="1:18" ht="18.75" x14ac:dyDescent="0.3">
      <c r="A23" s="12">
        <v>0.40277777777777801</v>
      </c>
      <c r="B23" s="8">
        <v>6</v>
      </c>
      <c r="C23" s="40" t="str">
        <f>J24</f>
        <v>DEVOUGE-SENDRA</v>
      </c>
      <c r="D23" s="40" t="str">
        <f>J26</f>
        <v>OBRADO-PEREZ</v>
      </c>
      <c r="E23" s="40" t="str">
        <f>J25</f>
        <v>BERNSTORFF-ALABART</v>
      </c>
      <c r="F23" s="23"/>
      <c r="G23" s="23"/>
      <c r="I23" s="10">
        <f>RANK(O23,O$23:O$27,0)</f>
        <v>1</v>
      </c>
      <c r="J23" s="9" t="s">
        <v>123</v>
      </c>
      <c r="K23" s="8">
        <f>(IF(F22&gt;G22,1,IF(F22&lt;G22,0,))+(IF(F24&gt;G24,1,IF(F24&lt;G24,0,))+(IF(F26&gt;G26,1,IF(F26&lt;G26,0,))+(IF(F29&gt;G29,1,IF(F29&lt;G29,0,))))))</f>
        <v>0</v>
      </c>
      <c r="L23" s="8">
        <f>F22+F24+F26+F29</f>
        <v>0</v>
      </c>
      <c r="M23" s="8">
        <f>G22+G24+G26+G29</f>
        <v>0</v>
      </c>
      <c r="N23" s="15" t="str">
        <f>IFERROR(L23/M23,"Max")</f>
        <v>Max</v>
      </c>
      <c r="O23" s="15">
        <f>IF(N23="Max",500,(K23*100)+N23)</f>
        <v>500</v>
      </c>
      <c r="Q23" s="16">
        <v>1</v>
      </c>
      <c r="R23" s="10" t="str">
        <f>IF($K23+$K24+$K25+$K26+K27=10,INDEX(J23:J27,MATCH($Q23,I23:I27,0)),"Pdte")</f>
        <v>Pdte</v>
      </c>
    </row>
    <row r="24" spans="1:18" ht="18.75" x14ac:dyDescent="0.3">
      <c r="A24" s="12">
        <v>0.41666666666666702</v>
      </c>
      <c r="B24" s="8">
        <v>6</v>
      </c>
      <c r="C24" s="40" t="str">
        <f>J23</f>
        <v>BRÄUTIGAM-CAMAS</v>
      </c>
      <c r="D24" s="40" t="str">
        <f>J25</f>
        <v>BERNSTORFF-ALABART</v>
      </c>
      <c r="E24" s="40" t="str">
        <f>J27</f>
        <v>RECKE - RIBA</v>
      </c>
      <c r="F24" s="23"/>
      <c r="G24" s="23"/>
      <c r="I24" s="10">
        <f t="shared" ref="I24:I26" si="3">RANK(O24,O$23:O$27,0)</f>
        <v>1</v>
      </c>
      <c r="J24" s="9" t="s">
        <v>125</v>
      </c>
      <c r="K24" s="8">
        <f>(IF(F23&gt;G23,1,IF(F23&lt;G23,0,))+(IF(F25&gt;G25,1,IF(F25&lt;G25,0,))+(IF(F27&gt;G27,1,IF(F27&lt;G27,0,))+IF(G29&gt;F29,1,IF(G29&lt;F29,0,)))))</f>
        <v>0</v>
      </c>
      <c r="L24" s="8">
        <f>F23+F25+F27+G29</f>
        <v>0</v>
      </c>
      <c r="M24" s="8">
        <f>G23+G25+G27+F29</f>
        <v>0</v>
      </c>
      <c r="N24" s="15" t="str">
        <f t="shared" ref="N24:N27" si="4">IFERROR(L24/M24,"Max")</f>
        <v>Max</v>
      </c>
      <c r="O24" s="15">
        <f t="shared" ref="O24:O27" si="5">IF(N24="Max",500,(K24*100)+N24)</f>
        <v>500</v>
      </c>
      <c r="Q24" s="16">
        <v>2</v>
      </c>
      <c r="R24" s="10" t="str">
        <f>IF($K24+$K25+$K26+$K27+K23=10,INDEX(J23:J27,MATCH($Q24,I23:I27,0)),"Pdte")</f>
        <v>Pdte</v>
      </c>
    </row>
    <row r="25" spans="1:18" ht="18.75" x14ac:dyDescent="0.3">
      <c r="A25" s="12">
        <v>0.43055555555555602</v>
      </c>
      <c r="B25" s="8">
        <v>6</v>
      </c>
      <c r="C25" s="40" t="str">
        <f>J24</f>
        <v>DEVOUGE-SENDRA</v>
      </c>
      <c r="D25" s="40" t="str">
        <f>J27</f>
        <v>RECKE - RIBA</v>
      </c>
      <c r="E25" s="40" t="str">
        <f>J26</f>
        <v>OBRADO-PEREZ</v>
      </c>
      <c r="F25" s="23"/>
      <c r="G25" s="23"/>
      <c r="I25" s="10">
        <f t="shared" si="3"/>
        <v>1</v>
      </c>
      <c r="J25" s="9" t="s">
        <v>135</v>
      </c>
      <c r="K25" s="8">
        <f>(IF(F21&gt;G21,1,IF(F21&lt;G21,0,))+(IF(G24&gt;F24,1,IF(G24&lt;F24,0,))+(IF(G27&gt;F27,1,IF(G27&lt;F27,0,))+(IF(F30&gt;G30,1,IF(F30&lt;G30,0,))))))</f>
        <v>0</v>
      </c>
      <c r="L25" s="8">
        <f>G24+G27+F21+F30</f>
        <v>0</v>
      </c>
      <c r="M25" s="8">
        <f>F24+F27+G21+G30</f>
        <v>0</v>
      </c>
      <c r="N25" s="15" t="str">
        <f t="shared" si="4"/>
        <v>Max</v>
      </c>
      <c r="O25" s="15">
        <f t="shared" si="5"/>
        <v>500</v>
      </c>
      <c r="Q25" s="16">
        <v>3</v>
      </c>
      <c r="R25" s="10" t="str">
        <f>IF($K25+$K26+$K27+$K24+K23=10,INDEX(J23:J27,MATCH($Q25,I23:I27,0)),"Pdte")</f>
        <v>Pdte</v>
      </c>
    </row>
    <row r="26" spans="1:18" ht="18.75" x14ac:dyDescent="0.3">
      <c r="A26" s="12">
        <v>0.44444444444444497</v>
      </c>
      <c r="B26" s="8">
        <v>6</v>
      </c>
      <c r="C26" s="40" t="str">
        <f>J23</f>
        <v>BRÄUTIGAM-CAMAS</v>
      </c>
      <c r="D26" s="40" t="str">
        <f>J26</f>
        <v>OBRADO-PEREZ</v>
      </c>
      <c r="E26" s="40" t="str">
        <f>J24</f>
        <v>DEVOUGE-SENDRA</v>
      </c>
      <c r="F26" s="23"/>
      <c r="G26" s="23"/>
      <c r="I26" s="10">
        <f t="shared" si="3"/>
        <v>1</v>
      </c>
      <c r="J26" s="9" t="s">
        <v>203</v>
      </c>
      <c r="K26" s="8">
        <f>(IF(G21&gt;F21,1,IF(G21&lt;F21,0,))+(IF(G23&gt;F23,1,IF(G23&lt;F23,0,))+(IF(G26&gt;F26,1,IF(G26&lt;F26,0,))+(IF(F28&gt;G28,1,IF(F28&lt;G28,0,))))))</f>
        <v>0</v>
      </c>
      <c r="L26" s="8">
        <f>G23+G26+G21+F28</f>
        <v>0</v>
      </c>
      <c r="M26" s="8">
        <f>F23+F26+F21+G28</f>
        <v>0</v>
      </c>
      <c r="N26" s="15" t="str">
        <f t="shared" si="4"/>
        <v>Max</v>
      </c>
      <c r="O26" s="15">
        <f t="shared" si="5"/>
        <v>500</v>
      </c>
      <c r="Q26" s="16">
        <v>4</v>
      </c>
      <c r="R26" s="10" t="str">
        <f>IF($K26+$K27+$K25+$K24+K23=10,INDEX(J23:J27,MATCH($Q26,I23:I27,0)),"Pdte")</f>
        <v>Pdte</v>
      </c>
    </row>
    <row r="27" spans="1:18" ht="18.75" x14ac:dyDescent="0.3">
      <c r="A27" s="12">
        <v>0.45833333333333298</v>
      </c>
      <c r="B27" s="8">
        <v>6</v>
      </c>
      <c r="C27" s="40" t="str">
        <f>J24</f>
        <v>DEVOUGE-SENDRA</v>
      </c>
      <c r="D27" s="40" t="str">
        <f>J25</f>
        <v>BERNSTORFF-ALABART</v>
      </c>
      <c r="E27" s="40" t="str">
        <f>J23</f>
        <v>BRÄUTIGAM-CAMAS</v>
      </c>
      <c r="F27" s="23"/>
      <c r="G27" s="23"/>
      <c r="I27" s="10">
        <f>RANK(O27,O$23:O$27,0)</f>
        <v>1</v>
      </c>
      <c r="J27" s="9" t="s">
        <v>205</v>
      </c>
      <c r="K27" s="8">
        <f>(IF(G22&gt;F22,1,IF(G22&lt;F22,0,))+(IF(G25&gt;F25,1,IF(G25&lt;F25,0,))+(IF(G28&gt;F28,1,IF(G28&lt;F28,0,))+(IF(G30&gt;F30,1,IF(G30&lt;F30,0,))))))</f>
        <v>0</v>
      </c>
      <c r="L27" s="8">
        <f>G22+G25+G28+G30</f>
        <v>0</v>
      </c>
      <c r="M27" s="8">
        <f>F22+F25+F28+F30</f>
        <v>0</v>
      </c>
      <c r="N27" s="15" t="str">
        <f t="shared" si="4"/>
        <v>Max</v>
      </c>
      <c r="O27" s="15">
        <f t="shared" si="5"/>
        <v>500</v>
      </c>
      <c r="Q27" s="16">
        <v>5</v>
      </c>
      <c r="R27" s="10" t="str">
        <f>IF($K27+$K26+$K25+$K24+K23=10,INDEX(J23:J27,MATCH($Q27,I23:I27,0)),"Pdte")</f>
        <v>Pdte</v>
      </c>
    </row>
    <row r="28" spans="1:18" ht="21.75" customHeight="1" x14ac:dyDescent="0.25">
      <c r="A28" s="12">
        <v>0.47222222222222199</v>
      </c>
      <c r="B28" s="8">
        <v>6</v>
      </c>
      <c r="C28" s="40" t="str">
        <f>J26</f>
        <v>OBRADO-PEREZ</v>
      </c>
      <c r="D28" s="40" t="str">
        <f>J27</f>
        <v>RECKE - RIBA</v>
      </c>
      <c r="E28" s="40" t="str">
        <f>J25</f>
        <v>BERNSTORFF-ALABART</v>
      </c>
      <c r="F28" s="23"/>
      <c r="G28" s="23"/>
    </row>
    <row r="29" spans="1:18" ht="21.75" customHeight="1" x14ac:dyDescent="0.25">
      <c r="A29" s="12">
        <v>0.48611111111111099</v>
      </c>
      <c r="B29" s="8">
        <v>6</v>
      </c>
      <c r="C29" s="40" t="str">
        <f>J23</f>
        <v>BRÄUTIGAM-CAMAS</v>
      </c>
      <c r="D29" s="40" t="str">
        <f>J24</f>
        <v>DEVOUGE-SENDRA</v>
      </c>
      <c r="E29" s="40" t="str">
        <f>J27</f>
        <v>RECKE - RIBA</v>
      </c>
      <c r="F29" s="23"/>
      <c r="G29" s="23"/>
    </row>
    <row r="30" spans="1:18" ht="21.75" customHeight="1" x14ac:dyDescent="0.25">
      <c r="A30" s="12">
        <v>0.5</v>
      </c>
      <c r="B30" s="8">
        <v>6</v>
      </c>
      <c r="C30" s="40" t="str">
        <f>J25</f>
        <v>BERNSTORFF-ALABART</v>
      </c>
      <c r="D30" s="40" t="str">
        <f>J27</f>
        <v>RECKE - RIBA</v>
      </c>
      <c r="E30" s="40" t="str">
        <f>J26</f>
        <v>OBRADO-PEREZ</v>
      </c>
      <c r="F30" s="23"/>
      <c r="G30" s="23"/>
      <c r="I30" s="24"/>
      <c r="L30" s="24"/>
    </row>
    <row r="31" spans="1:18" ht="21.75" customHeight="1" x14ac:dyDescent="0.25"/>
    <row r="32" spans="1:18" ht="21.75" customHeight="1" x14ac:dyDescent="0.25">
      <c r="A32" s="9" t="s">
        <v>172</v>
      </c>
      <c r="B32" s="17"/>
      <c r="C32" s="1"/>
      <c r="D32" s="1"/>
      <c r="G32" s="1"/>
      <c r="J32"/>
    </row>
    <row r="33" spans="1:10" ht="21.75" customHeight="1" x14ac:dyDescent="0.25">
      <c r="A33" s="8" t="s">
        <v>46</v>
      </c>
      <c r="B33" s="8" t="s">
        <v>47</v>
      </c>
      <c r="C33" s="9" t="s">
        <v>48</v>
      </c>
      <c r="D33" s="9" t="s">
        <v>49</v>
      </c>
      <c r="E33" s="8" t="s">
        <v>170</v>
      </c>
      <c r="F33" s="9" t="s">
        <v>51</v>
      </c>
      <c r="G33" s="9" t="s">
        <v>51</v>
      </c>
      <c r="J33"/>
    </row>
    <row r="34" spans="1:10" ht="21.75" customHeight="1" x14ac:dyDescent="0.25">
      <c r="A34" s="17"/>
      <c r="B34" s="17"/>
      <c r="C34" s="1"/>
      <c r="D34" s="1"/>
      <c r="G34" s="1"/>
      <c r="J34"/>
    </row>
    <row r="35" spans="1:10" ht="21.75" customHeight="1" x14ac:dyDescent="0.25">
      <c r="A35" s="17"/>
      <c r="B35" s="17" t="s">
        <v>186</v>
      </c>
      <c r="C35" s="9" t="s">
        <v>194</v>
      </c>
      <c r="D35" s="9" t="s">
        <v>195</v>
      </c>
      <c r="E35" s="9" t="s">
        <v>196</v>
      </c>
      <c r="G35" s="1"/>
      <c r="J35"/>
    </row>
    <row r="36" spans="1:10" ht="21.75" customHeight="1" x14ac:dyDescent="0.25">
      <c r="A36" s="38">
        <v>0.51388888888888895</v>
      </c>
      <c r="B36" s="8">
        <v>6</v>
      </c>
      <c r="C36" s="9" t="str">
        <f>IF(R11="Pdte"," ",R11)</f>
        <v xml:space="preserve"> </v>
      </c>
      <c r="D36" s="9" t="str">
        <f>IF(R24="Pdte"," ",R24)</f>
        <v xml:space="preserve"> </v>
      </c>
      <c r="E36" s="9" t="str">
        <f>IF(R23="Pdte"," ",R23)</f>
        <v xml:space="preserve"> </v>
      </c>
      <c r="F36" s="13"/>
      <c r="G36" s="14"/>
      <c r="J36"/>
    </row>
    <row r="37" spans="1:10" ht="21.75" customHeight="1" x14ac:dyDescent="0.25">
      <c r="A37" s="17"/>
      <c r="B37" s="17"/>
      <c r="C37" s="1"/>
      <c r="D37" s="1"/>
      <c r="G37" s="1"/>
    </row>
    <row r="38" spans="1:10" ht="21.75" customHeight="1" x14ac:dyDescent="0.25">
      <c r="A38" s="17"/>
      <c r="B38" s="17" t="s">
        <v>183</v>
      </c>
      <c r="C38" s="9" t="s">
        <v>197</v>
      </c>
      <c r="D38" s="9" t="s">
        <v>193</v>
      </c>
      <c r="E38" s="9" t="s">
        <v>189</v>
      </c>
      <c r="G38" s="1"/>
    </row>
    <row r="39" spans="1:10" ht="21.75" customHeight="1" x14ac:dyDescent="0.25">
      <c r="A39" s="38">
        <v>0.52777777777777779</v>
      </c>
      <c r="B39" s="8">
        <v>6</v>
      </c>
      <c r="C39" s="9" t="str">
        <f>IF(R23="Pdte"," ",R23)</f>
        <v xml:space="preserve"> </v>
      </c>
      <c r="D39" s="9" t="str">
        <f>IF(R12="Pdte"," ",R12)</f>
        <v xml:space="preserve"> </v>
      </c>
      <c r="E39" s="9" t="str">
        <f>IF(F36&gt;G36,C36,IF(F36&lt;G36,D36," "))</f>
        <v xml:space="preserve"> </v>
      </c>
      <c r="F39" s="13"/>
      <c r="G39" s="14"/>
    </row>
    <row r="40" spans="1:10" ht="21.75" customHeight="1" x14ac:dyDescent="0.25">
      <c r="A40" s="17"/>
      <c r="B40" s="17"/>
      <c r="C40" s="1"/>
      <c r="D40" s="1"/>
      <c r="G40" s="1"/>
    </row>
    <row r="41" spans="1:10" ht="21.75" customHeight="1" x14ac:dyDescent="0.25">
      <c r="A41" s="17"/>
      <c r="B41" s="17" t="s">
        <v>64</v>
      </c>
      <c r="C41" s="9" t="s">
        <v>189</v>
      </c>
      <c r="D41" s="9" t="s">
        <v>190</v>
      </c>
      <c r="E41" s="9" t="s">
        <v>206</v>
      </c>
      <c r="G41" s="1"/>
    </row>
    <row r="42" spans="1:10" ht="21.75" customHeight="1" x14ac:dyDescent="0.25">
      <c r="A42" s="37">
        <v>0.54166666666666663</v>
      </c>
      <c r="B42" s="8">
        <v>6</v>
      </c>
      <c r="C42" s="9" t="str">
        <f>IF(F36&gt;G36,C36,IF(F36&lt;G36,D36," "))</f>
        <v xml:space="preserve"> </v>
      </c>
      <c r="D42" s="9" t="str">
        <f>IF(F39&gt;G39,C39,IF(F39&lt;G39,D39," "))</f>
        <v xml:space="preserve"> </v>
      </c>
      <c r="E42" s="9" t="str">
        <f>IF(F39&gt;G39,D39,IF(F39&lt;G39,C39," "))</f>
        <v xml:space="preserve"> </v>
      </c>
      <c r="F42" s="13"/>
      <c r="G42" s="14"/>
    </row>
  </sheetData>
  <mergeCells count="1">
    <mergeCell ref="A1:G6"/>
  </mergeCells>
  <conditionalFormatting sqref="R11">
    <cfRule type="duplicateValues" dxfId="10" priority="4"/>
  </conditionalFormatting>
  <conditionalFormatting sqref="R12:R15">
    <cfRule type="duplicateValues" dxfId="9" priority="3"/>
  </conditionalFormatting>
  <conditionalFormatting sqref="R23">
    <cfRule type="duplicateValues" dxfId="8" priority="2"/>
  </conditionalFormatting>
  <conditionalFormatting sqref="R24:R27">
    <cfRule type="duplicateValues" dxfId="7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topLeftCell="A47" zoomScale="80" zoomScaleNormal="80" workbookViewId="0">
      <selection activeCell="H49" sqref="H49"/>
    </sheetView>
  </sheetViews>
  <sheetFormatPr baseColWidth="10" defaultColWidth="11.42578125" defaultRowHeight="15" x14ac:dyDescent="0.25"/>
  <cols>
    <col min="2" max="2" width="5.28515625" bestFit="1" customWidth="1"/>
    <col min="3" max="4" width="25.7109375" customWidth="1"/>
    <col min="5" max="5" width="25.7109375" bestFit="1" customWidth="1"/>
    <col min="10" max="10" width="24.140625" bestFit="1" customWidth="1"/>
    <col min="11" max="11" width="17.140625" bestFit="1" customWidth="1"/>
    <col min="18" max="18" width="24.140625" customWidth="1"/>
  </cols>
  <sheetData>
    <row r="1" spans="1:18" x14ac:dyDescent="0.25">
      <c r="A1" s="50" t="s">
        <v>192</v>
      </c>
      <c r="B1" s="50"/>
      <c r="C1" s="50"/>
      <c r="D1" s="36"/>
      <c r="E1" s="36"/>
      <c r="F1" s="36"/>
      <c r="G1" s="36"/>
      <c r="J1" s="5"/>
      <c r="K1" s="5"/>
      <c r="L1" s="6"/>
      <c r="M1" s="5"/>
    </row>
    <row r="2" spans="1:18" x14ac:dyDescent="0.25">
      <c r="A2" s="50"/>
      <c r="B2" s="50"/>
      <c r="C2" s="50"/>
      <c r="D2" s="36"/>
      <c r="E2" s="36"/>
      <c r="F2" s="36"/>
      <c r="G2" s="36"/>
      <c r="J2" s="5"/>
      <c r="K2" s="7"/>
      <c r="L2" s="4"/>
      <c r="M2" s="5"/>
    </row>
    <row r="3" spans="1:18" x14ac:dyDescent="0.25">
      <c r="A3" s="50"/>
      <c r="B3" s="50"/>
      <c r="C3" s="50"/>
      <c r="D3" s="36"/>
      <c r="E3" s="36"/>
      <c r="F3" s="36"/>
      <c r="G3" s="36"/>
      <c r="J3" s="5"/>
      <c r="K3" s="5"/>
      <c r="L3" s="4"/>
      <c r="M3" s="5"/>
    </row>
    <row r="4" spans="1:18" x14ac:dyDescent="0.25">
      <c r="A4" s="50"/>
      <c r="B4" s="50"/>
      <c r="C4" s="50"/>
      <c r="D4" s="36"/>
      <c r="E4" s="36"/>
      <c r="F4" s="36"/>
      <c r="G4" s="36"/>
      <c r="J4" s="5"/>
      <c r="K4" s="5"/>
      <c r="L4" s="4"/>
      <c r="M4" s="5"/>
    </row>
    <row r="5" spans="1:18" x14ac:dyDescent="0.25">
      <c r="A5" s="50"/>
      <c r="B5" s="50"/>
      <c r="C5" s="50"/>
      <c r="D5" s="36"/>
      <c r="E5" s="36"/>
      <c r="F5" s="36"/>
      <c r="G5" s="36"/>
      <c r="J5" s="5"/>
      <c r="K5" s="5"/>
      <c r="L5" s="4"/>
      <c r="M5" s="5"/>
    </row>
    <row r="6" spans="1:18" x14ac:dyDescent="0.25">
      <c r="A6" s="50"/>
      <c r="B6" s="50"/>
      <c r="C6" s="50"/>
      <c r="D6" s="36"/>
      <c r="E6" s="36"/>
      <c r="F6" s="36"/>
      <c r="G6" s="36"/>
    </row>
    <row r="7" spans="1:18" ht="61.5" x14ac:dyDescent="0.9">
      <c r="A7" s="22"/>
      <c r="B7" s="22"/>
      <c r="C7" s="22"/>
      <c r="D7" s="32"/>
      <c r="E7" s="32"/>
      <c r="F7" s="32"/>
      <c r="G7" s="32"/>
    </row>
    <row r="8" spans="1:18" s="1" customFormat="1" ht="21.75" customHeight="1" x14ac:dyDescent="0.25">
      <c r="A8" s="8" t="s">
        <v>46</v>
      </c>
      <c r="B8" s="8" t="s">
        <v>47</v>
      </c>
      <c r="C8" s="9" t="s">
        <v>48</v>
      </c>
      <c r="D8" s="9" t="s">
        <v>49</v>
      </c>
      <c r="E8" s="8" t="s">
        <v>50</v>
      </c>
      <c r="F8" s="9" t="s">
        <v>61</v>
      </c>
      <c r="G8" s="9" t="s">
        <v>51</v>
      </c>
    </row>
    <row r="9" spans="1:18" ht="18.75" x14ac:dyDescent="0.3">
      <c r="A9" s="12">
        <v>0.60416666666666663</v>
      </c>
      <c r="B9" s="8">
        <v>2</v>
      </c>
      <c r="C9" s="9" t="str">
        <f>J10</f>
        <v>GAIRIN-JUANALS</v>
      </c>
      <c r="D9" s="9" t="str">
        <f>J12</f>
        <v>ANNIA-LUNA</v>
      </c>
      <c r="E9" s="33" t="str">
        <f>J11</f>
        <v>COLOMINES-COLOMINES</v>
      </c>
      <c r="F9" s="13"/>
      <c r="G9" s="14"/>
      <c r="I9" s="10" t="s">
        <v>52</v>
      </c>
      <c r="J9" s="11" t="s">
        <v>59</v>
      </c>
      <c r="K9" s="8" t="s">
        <v>53</v>
      </c>
      <c r="L9" s="8" t="s">
        <v>54</v>
      </c>
      <c r="M9" s="8" t="s">
        <v>55</v>
      </c>
      <c r="N9" s="9" t="s">
        <v>56</v>
      </c>
      <c r="O9" s="9" t="s">
        <v>62</v>
      </c>
      <c r="Q9" s="8" t="s">
        <v>58</v>
      </c>
      <c r="R9" s="8" t="s">
        <v>59</v>
      </c>
    </row>
    <row r="10" spans="1:18" ht="18.75" x14ac:dyDescent="0.3">
      <c r="A10" s="12">
        <v>0.61805555555555558</v>
      </c>
      <c r="B10" s="8">
        <v>2</v>
      </c>
      <c r="C10" s="9" t="str">
        <f>J11</f>
        <v>COLOMINES-COLOMINES</v>
      </c>
      <c r="D10" s="9" t="str">
        <f>J13</f>
        <v>GARFIAS-GAMIZ</v>
      </c>
      <c r="E10" s="33" t="str">
        <f>J10</f>
        <v>GAIRIN-JUANALS</v>
      </c>
      <c r="F10" s="13"/>
      <c r="G10" s="14"/>
      <c r="I10" s="10">
        <f>RANK(O10,O10:O13,0)</f>
        <v>1</v>
      </c>
      <c r="J10" s="9" t="s">
        <v>144</v>
      </c>
      <c r="K10" s="8">
        <f>(IF(F9&gt;G9,1,IF(F9&lt;G9,0,))+(IF(F11&gt;G11,1,IF(F11&lt;G11,0,))+(IF(F13&gt;G13,1,IF(F13&lt;G13,0,)))))</f>
        <v>0</v>
      </c>
      <c r="L10" s="8">
        <f>F9+F11+F13</f>
        <v>0</v>
      </c>
      <c r="M10" s="8">
        <f>G9+G11+G13</f>
        <v>0</v>
      </c>
      <c r="N10" s="15" t="str">
        <f>IFERROR(L10/M10,"Max")</f>
        <v>Max</v>
      </c>
      <c r="O10" s="15">
        <f>IF(N10="Max",400,(K10*100)+N10)</f>
        <v>400</v>
      </c>
      <c r="Q10" s="16">
        <v>1</v>
      </c>
      <c r="R10" s="10" t="str">
        <f>IF($K10+$K11+$K12+$K13=6,INDEX(J10:J13,MATCH($Q10,I10:I13,0)),"Pdte")</f>
        <v>Pdte</v>
      </c>
    </row>
    <row r="11" spans="1:18" ht="18.75" x14ac:dyDescent="0.3">
      <c r="A11" s="12">
        <v>0.63194444444444442</v>
      </c>
      <c r="B11" s="8">
        <v>2</v>
      </c>
      <c r="C11" s="9" t="str">
        <f>J10</f>
        <v>GAIRIN-JUANALS</v>
      </c>
      <c r="D11" s="9" t="str">
        <f>J13</f>
        <v>GARFIAS-GAMIZ</v>
      </c>
      <c r="E11" s="33" t="str">
        <f>J12</f>
        <v>ANNIA-LUNA</v>
      </c>
      <c r="F11" s="13"/>
      <c r="G11" s="14"/>
      <c r="I11" s="10">
        <f>RANK(O11,O10:O13,0)</f>
        <v>1</v>
      </c>
      <c r="J11" s="9" t="s">
        <v>41</v>
      </c>
      <c r="K11" s="8">
        <f>(IF(F10&gt;G10,1,IF(F10&lt;G10,0,))+(IF(F12&gt;G12,1,IF(F12&lt;G12,0,))+(IF(G13&gt;F13,1,IF(G13&lt;F13,0,)))))</f>
        <v>0</v>
      </c>
      <c r="L11" s="8">
        <f>F10+F12+G13</f>
        <v>0</v>
      </c>
      <c r="M11" s="8">
        <f>G10+G12+F13</f>
        <v>0</v>
      </c>
      <c r="N11" s="15" t="str">
        <f>IFERROR(L11/M11,"Max")</f>
        <v>Max</v>
      </c>
      <c r="O11" s="15">
        <f>IF(N11="Max",400,(K11*100)+N11)</f>
        <v>400</v>
      </c>
      <c r="Q11" s="16">
        <v>2</v>
      </c>
      <c r="R11" s="10" t="str">
        <f>IF($K11+$K12+$K13+$K10=6,INDEX(J10:J13,MATCH($Q11,I10:I13,0)),"Pdte")</f>
        <v>Pdte</v>
      </c>
    </row>
    <row r="12" spans="1:18" ht="18.75" x14ac:dyDescent="0.3">
      <c r="A12" s="12">
        <v>0.64583333333333337</v>
      </c>
      <c r="B12" s="8">
        <v>2</v>
      </c>
      <c r="C12" s="9" t="str">
        <f>J11</f>
        <v>COLOMINES-COLOMINES</v>
      </c>
      <c r="D12" s="9" t="str">
        <f>J12</f>
        <v>ANNIA-LUNA</v>
      </c>
      <c r="E12" s="33" t="str">
        <f>J10</f>
        <v>GAIRIN-JUANALS</v>
      </c>
      <c r="F12" s="13"/>
      <c r="G12" s="14"/>
      <c r="I12" s="10">
        <f>RANK(O12,O10:O13,0)</f>
        <v>1</v>
      </c>
      <c r="J12" s="9" t="s">
        <v>136</v>
      </c>
      <c r="K12" s="8">
        <f>(IF(G9&gt;F9,1,IF(G9&lt;F9,0,))+(IF(G12&gt;F12,1,IF(G12&lt;F12,0,))+(IF(F14&gt;G14,1,IF(F14&lt;G14,0,)))))</f>
        <v>0</v>
      </c>
      <c r="L12" s="8">
        <f>G9+G12+F14</f>
        <v>0</v>
      </c>
      <c r="M12" s="8">
        <f>F9+F12+G14</f>
        <v>0</v>
      </c>
      <c r="N12" s="15" t="str">
        <f>IFERROR(L12/M12,"Max")</f>
        <v>Max</v>
      </c>
      <c r="O12" s="15">
        <f>IF(N12="Max",400,(K12*100)+N12)</f>
        <v>400</v>
      </c>
      <c r="Q12" s="16">
        <v>3</v>
      </c>
      <c r="R12" s="10" t="str">
        <f>IF($K12+$K13+$K10+$K11=6,INDEX(J10:J13,MATCH($Q12,I10:I13,0)),"Pdte")</f>
        <v>Pdte</v>
      </c>
    </row>
    <row r="13" spans="1:18" ht="18.75" x14ac:dyDescent="0.3">
      <c r="A13" s="12">
        <v>0.65972222222222221</v>
      </c>
      <c r="B13" s="8">
        <v>2</v>
      </c>
      <c r="C13" s="9" t="str">
        <f>J10</f>
        <v>GAIRIN-JUANALS</v>
      </c>
      <c r="D13" s="9" t="str">
        <f>J11</f>
        <v>COLOMINES-COLOMINES</v>
      </c>
      <c r="E13" s="33" t="str">
        <f>J13</f>
        <v>GARFIAS-GAMIZ</v>
      </c>
      <c r="F13" s="13"/>
      <c r="G13" s="14"/>
      <c r="I13" s="10">
        <f>RANK(O13,O10:O13,0)</f>
        <v>1</v>
      </c>
      <c r="J13" s="9" t="s">
        <v>134</v>
      </c>
      <c r="K13" s="8">
        <f>(IF(G10&gt;F10,1,IF(G10&lt;F10,0,))+(IF(G11&gt;F11,1,IF(G11&lt;F11,0,))+(IF(G14&gt;F14,1,IF(G14&lt;F14,0,)))))</f>
        <v>0</v>
      </c>
      <c r="L13" s="8">
        <f>G10+G11+G14</f>
        <v>0</v>
      </c>
      <c r="M13" s="8">
        <f>F10+F11+F14</f>
        <v>0</v>
      </c>
      <c r="N13" s="15" t="str">
        <f>IFERROR(L13/M13,"Max")</f>
        <v>Max</v>
      </c>
      <c r="O13" s="15">
        <f>IF(N13="Max",400,(K13*100)+N13)</f>
        <v>400</v>
      </c>
      <c r="Q13" s="16">
        <v>4</v>
      </c>
      <c r="R13" s="10" t="str">
        <f>IF($K10+$K11+$K12+$K13=6,INDEX(J10:J13,MATCH($Q13,I10:I13,0)),"Pdte")</f>
        <v>Pdte</v>
      </c>
    </row>
    <row r="14" spans="1:18" ht="21.75" customHeight="1" x14ac:dyDescent="0.25">
      <c r="A14" s="12">
        <v>0.67361111111111116</v>
      </c>
      <c r="B14" s="8">
        <v>2</v>
      </c>
      <c r="C14" s="9" t="str">
        <f>J12</f>
        <v>ANNIA-LUNA</v>
      </c>
      <c r="D14" s="9" t="str">
        <f>J13</f>
        <v>GARFIAS-GAMIZ</v>
      </c>
      <c r="E14" s="33" t="str">
        <f>J11</f>
        <v>COLOMINES-COLOMINES</v>
      </c>
      <c r="F14" s="13"/>
      <c r="G14" s="14"/>
    </row>
    <row r="15" spans="1:18" ht="21.75" customHeight="1" x14ac:dyDescent="0.25"/>
    <row r="16" spans="1:18" ht="21.75" customHeight="1" x14ac:dyDescent="0.25"/>
    <row r="17" spans="1:18" s="1" customFormat="1" ht="21.75" customHeight="1" x14ac:dyDescent="0.25">
      <c r="A17" s="8" t="s">
        <v>46</v>
      </c>
      <c r="B17" s="8" t="s">
        <v>47</v>
      </c>
      <c r="C17" s="9" t="s">
        <v>48</v>
      </c>
      <c r="D17" s="9" t="s">
        <v>49</v>
      </c>
      <c r="E17" s="8" t="s">
        <v>170</v>
      </c>
      <c r="F17" s="9" t="s">
        <v>51</v>
      </c>
      <c r="G17" s="9" t="s">
        <v>51</v>
      </c>
    </row>
    <row r="18" spans="1:18" s="1" customFormat="1" ht="18.75" x14ac:dyDescent="0.3">
      <c r="A18" s="12">
        <v>0.60416666666666663</v>
      </c>
      <c r="B18" s="8">
        <v>6</v>
      </c>
      <c r="C18" s="9" t="str">
        <f>J19</f>
        <v>CASAS-MORENO</v>
      </c>
      <c r="D18" s="9" t="str">
        <f>J21</f>
        <v>ALBA-NÚRIA</v>
      </c>
      <c r="E18" s="33" t="str">
        <f>J20</f>
        <v>BERICAT-SENDRA</v>
      </c>
      <c r="F18" s="13"/>
      <c r="G18" s="14"/>
      <c r="I18" s="10" t="s">
        <v>52</v>
      </c>
      <c r="J18" s="11" t="s">
        <v>63</v>
      </c>
      <c r="K18" s="8" t="s">
        <v>53</v>
      </c>
      <c r="L18" s="8" t="s">
        <v>54</v>
      </c>
      <c r="M18" s="8" t="s">
        <v>55</v>
      </c>
      <c r="N18" s="9" t="s">
        <v>56</v>
      </c>
      <c r="O18" s="9" t="s">
        <v>57</v>
      </c>
      <c r="P18"/>
      <c r="Q18" s="8" t="s">
        <v>58</v>
      </c>
      <c r="R18" s="8" t="s">
        <v>63</v>
      </c>
    </row>
    <row r="19" spans="1:18" s="1" customFormat="1" ht="18.75" x14ac:dyDescent="0.3">
      <c r="A19" s="12">
        <v>0.61805555555555558</v>
      </c>
      <c r="B19" s="8">
        <v>6</v>
      </c>
      <c r="C19" s="9" t="str">
        <f>J20</f>
        <v>BERICAT-SENDRA</v>
      </c>
      <c r="D19" s="9" t="str">
        <f>J22</f>
        <v>DIAZ-NOFRE</v>
      </c>
      <c r="E19" s="33" t="str">
        <f>J19</f>
        <v>CASAS-MORENO</v>
      </c>
      <c r="F19" s="13"/>
      <c r="G19" s="14"/>
      <c r="I19" s="10">
        <f>RANK(O19,O19:O22,0)</f>
        <v>1</v>
      </c>
      <c r="J19" s="9" t="s">
        <v>133</v>
      </c>
      <c r="K19" s="8">
        <f>(IF(F18&gt;G18,1,IF(F18&lt;G18,0,))+(IF(F20&gt;G20,1,IF(F20&lt;G20,0,))+(IF(F22&gt;G22,1,IF(F22&lt;G22,0,)))))</f>
        <v>0</v>
      </c>
      <c r="L19" s="8">
        <f>F18+F20+F22</f>
        <v>0</v>
      </c>
      <c r="M19" s="8">
        <f>G18+G20+G22</f>
        <v>0</v>
      </c>
      <c r="N19" s="15" t="str">
        <f>IFERROR(L19/M19,"Max")</f>
        <v>Max</v>
      </c>
      <c r="O19" s="15">
        <f>IF(N19="Max",400,(K19*100)+N19)</f>
        <v>400</v>
      </c>
      <c r="P19"/>
      <c r="Q19" s="16">
        <v>1</v>
      </c>
      <c r="R19" s="10" t="str">
        <f>IF($K19+$K20+$K21+$K22=6,INDEX(J19:J22,MATCH($Q19,I19:I22,0)),"Pdte")</f>
        <v>Pdte</v>
      </c>
    </row>
    <row r="20" spans="1:18" s="1" customFormat="1" ht="18.75" x14ac:dyDescent="0.3">
      <c r="A20" s="12">
        <v>0.63194444444444442</v>
      </c>
      <c r="B20" s="8">
        <v>6</v>
      </c>
      <c r="C20" s="9" t="str">
        <f>J19</f>
        <v>CASAS-MORENO</v>
      </c>
      <c r="D20" s="9" t="str">
        <f>J22</f>
        <v>DIAZ-NOFRE</v>
      </c>
      <c r="E20" s="33" t="str">
        <f>J21</f>
        <v>ALBA-NÚRIA</v>
      </c>
      <c r="F20" s="13"/>
      <c r="G20" s="14"/>
      <c r="I20" s="10">
        <f>RANK(O20,O19:O22,0)</f>
        <v>1</v>
      </c>
      <c r="J20" s="9" t="s">
        <v>37</v>
      </c>
      <c r="K20" s="8">
        <f>(IF(F19&gt;G19,1,IF(F19&lt;G19,0,))+(IF(F21&gt;G21,1,IF(F21&lt;G21,0,))+(IF(G22&gt;F22,1,IF(G22&lt;F22,0,)))))</f>
        <v>0</v>
      </c>
      <c r="L20" s="8">
        <f>F19+F21+G22</f>
        <v>0</v>
      </c>
      <c r="M20" s="8">
        <f>G19+G21+F22</f>
        <v>0</v>
      </c>
      <c r="N20" s="15" t="str">
        <f>IFERROR(L20/M20,"Max")</f>
        <v>Max</v>
      </c>
      <c r="O20" s="15">
        <f>IF(N20="Max",400,(K20*100)+N20)</f>
        <v>400</v>
      </c>
      <c r="P20"/>
      <c r="Q20" s="16">
        <v>2</v>
      </c>
      <c r="R20" s="10" t="str">
        <f>IF($K20+$K21+$K22+$K19=6,INDEX(J19:J22,MATCH($Q20,I19:I22,0)),"Pdte")</f>
        <v>Pdte</v>
      </c>
    </row>
    <row r="21" spans="1:18" s="1" customFormat="1" ht="18.75" x14ac:dyDescent="0.3">
      <c r="A21" s="12">
        <v>0.64583333333333337</v>
      </c>
      <c r="B21" s="8">
        <v>6</v>
      </c>
      <c r="C21" s="9" t="str">
        <f>J20</f>
        <v>BERICAT-SENDRA</v>
      </c>
      <c r="D21" s="9" t="str">
        <f>J21</f>
        <v>ALBA-NÚRIA</v>
      </c>
      <c r="E21" s="33" t="str">
        <f>J22</f>
        <v>DIAZ-NOFRE</v>
      </c>
      <c r="F21" s="13"/>
      <c r="G21" s="14"/>
      <c r="I21" s="10">
        <f>RANK(O21,O19:O22,0)</f>
        <v>1</v>
      </c>
      <c r="J21" s="9" t="s">
        <v>137</v>
      </c>
      <c r="K21" s="8">
        <f>(IF(G18&gt;F18,1,IF(G18&lt;F18,0,))+(IF(G21&gt;F21,1,IF(G21&lt;F21,0,))+(IF(F23&gt;G23,1,IF(F23&lt;G23,0,)))))</f>
        <v>0</v>
      </c>
      <c r="L21" s="8">
        <f>G18+G21+F23</f>
        <v>0</v>
      </c>
      <c r="M21" s="8">
        <f>F18+F21+G23</f>
        <v>0</v>
      </c>
      <c r="N21" s="15" t="str">
        <f>IFERROR(L21/M21,"Max")</f>
        <v>Max</v>
      </c>
      <c r="O21" s="15">
        <f>IF(N21="Max",400,(K21*100)+N21)</f>
        <v>400</v>
      </c>
      <c r="P21"/>
      <c r="Q21" s="16">
        <v>3</v>
      </c>
      <c r="R21" s="10" t="str">
        <f>IF($K21+$K22+$K19+$K20=6,INDEX(J19:J22,MATCH($Q21,I19:I22,0)),"Pdte")</f>
        <v>Pdte</v>
      </c>
    </row>
    <row r="22" spans="1:18" s="1" customFormat="1" ht="18.75" x14ac:dyDescent="0.3">
      <c r="A22" s="12">
        <v>0.65972222222222221</v>
      </c>
      <c r="B22" s="8">
        <v>6</v>
      </c>
      <c r="C22" s="9" t="str">
        <f>J19</f>
        <v>CASAS-MORENO</v>
      </c>
      <c r="D22" s="9" t="str">
        <f>J20</f>
        <v>BERICAT-SENDRA</v>
      </c>
      <c r="E22" s="33" t="str">
        <f>J21</f>
        <v>ALBA-NÚRIA</v>
      </c>
      <c r="F22" s="13"/>
      <c r="G22" s="14"/>
      <c r="I22" s="10">
        <f>RANK(O22,O19:O22,0)</f>
        <v>1</v>
      </c>
      <c r="J22" s="9" t="s">
        <v>12</v>
      </c>
      <c r="K22" s="8">
        <f>(IF(G19&gt;F19,1,IF(G19&lt;F19,0,))+(IF(G20&gt;F20,1,IF(G20&lt;F20,0,))+(IF(G23&gt;F23,1,IF(G23&lt;F23,0,)))))</f>
        <v>0</v>
      </c>
      <c r="L22" s="8">
        <f>G19+G20+G23</f>
        <v>0</v>
      </c>
      <c r="M22" s="8">
        <f>F19+F20+F23</f>
        <v>0</v>
      </c>
      <c r="N22" s="15" t="str">
        <f>IFERROR(L22/M22,"Max")</f>
        <v>Max</v>
      </c>
      <c r="O22" s="15">
        <f>IF(N22="Max",400,(K22*100)+N22)</f>
        <v>400</v>
      </c>
      <c r="P22"/>
      <c r="Q22" s="16">
        <v>4</v>
      </c>
      <c r="R22" s="10" t="str">
        <f>IF($K19+$K20+$K21+$K22=6,INDEX(J19:J22,MATCH($Q22,I19:I22,0)),"Pdte")</f>
        <v>Pdte</v>
      </c>
    </row>
    <row r="23" spans="1:18" s="1" customFormat="1" ht="21.75" customHeight="1" x14ac:dyDescent="0.25">
      <c r="A23" s="12">
        <v>0.67361111111111116</v>
      </c>
      <c r="B23" s="8">
        <v>6</v>
      </c>
      <c r="C23" s="9" t="str">
        <f>J21</f>
        <v>ALBA-NÚRIA</v>
      </c>
      <c r="D23" s="9" t="str">
        <f>J22</f>
        <v>DIAZ-NOFRE</v>
      </c>
      <c r="E23" s="33" t="str">
        <f>J19</f>
        <v>CASAS-MORENO</v>
      </c>
      <c r="F23" s="13"/>
      <c r="G23" s="14"/>
    </row>
    <row r="24" spans="1:18" ht="21.75" customHeight="1" x14ac:dyDescent="0.25"/>
    <row r="25" spans="1:18" s="1" customFormat="1" ht="21.75" customHeight="1" x14ac:dyDescent="0.25">
      <c r="A25" s="8" t="s">
        <v>46</v>
      </c>
      <c r="B25" s="8" t="s">
        <v>47</v>
      </c>
      <c r="C25" s="9" t="s">
        <v>48</v>
      </c>
      <c r="D25" s="9" t="s">
        <v>49</v>
      </c>
      <c r="E25" s="8" t="s">
        <v>170</v>
      </c>
      <c r="F25" s="9" t="s">
        <v>51</v>
      </c>
      <c r="G25" s="9" t="s">
        <v>51</v>
      </c>
    </row>
    <row r="26" spans="1:18" s="1" customFormat="1" ht="18.75" x14ac:dyDescent="0.3">
      <c r="A26" s="12">
        <v>0.60416666666666663</v>
      </c>
      <c r="B26" s="8">
        <v>7</v>
      </c>
      <c r="C26" s="9" t="str">
        <f>J27</f>
        <v>MAGALLON-BARBERO</v>
      </c>
      <c r="D26" s="9" t="str">
        <f>J29</f>
        <v>SANGALLI-BUJ</v>
      </c>
      <c r="E26" s="33" t="str">
        <f>J28</f>
        <v>AGORRETA-RABAL</v>
      </c>
      <c r="F26" s="13"/>
      <c r="G26" s="14"/>
      <c r="I26" s="10" t="s">
        <v>52</v>
      </c>
      <c r="J26" s="11" t="s">
        <v>171</v>
      </c>
      <c r="K26" s="8" t="s">
        <v>53</v>
      </c>
      <c r="L26" s="8" t="s">
        <v>54</v>
      </c>
      <c r="M26" s="8" t="s">
        <v>55</v>
      </c>
      <c r="N26" s="9" t="s">
        <v>56</v>
      </c>
      <c r="O26" s="9" t="s">
        <v>57</v>
      </c>
      <c r="P26"/>
      <c r="Q26" s="8" t="s">
        <v>58</v>
      </c>
      <c r="R26" s="8" t="s">
        <v>171</v>
      </c>
    </row>
    <row r="27" spans="1:18" s="1" customFormat="1" ht="18.75" x14ac:dyDescent="0.3">
      <c r="A27" s="12">
        <v>0.61805555555555558</v>
      </c>
      <c r="B27" s="8">
        <v>7</v>
      </c>
      <c r="C27" s="9" t="str">
        <f>J28</f>
        <v>AGORRETA-RABAL</v>
      </c>
      <c r="D27" s="9" t="str">
        <f>J30</f>
        <v>GAÏTAUD-ANHORA</v>
      </c>
      <c r="E27" s="33" t="str">
        <f>J27</f>
        <v>MAGALLON-BARBERO</v>
      </c>
      <c r="F27" s="13"/>
      <c r="G27" s="14"/>
      <c r="I27" s="10">
        <f>RANK(O27,O27:O30,0)</f>
        <v>1</v>
      </c>
      <c r="J27" s="9" t="s">
        <v>145</v>
      </c>
      <c r="K27" s="8">
        <f>(IF(F26&gt;G26,1,IF(F26&lt;G26,0,))+(IF(F28&gt;G28,1,IF(F28&lt;G28,0,))+(IF(F30&gt;G30,1,IF(F30&lt;G30,0,)))))</f>
        <v>0</v>
      </c>
      <c r="L27" s="8">
        <f>F26+F28+F30</f>
        <v>0</v>
      </c>
      <c r="M27" s="8">
        <f>G26+G28+G30</f>
        <v>0</v>
      </c>
      <c r="N27" s="15" t="str">
        <f>IFERROR(L27/M27,"Max")</f>
        <v>Max</v>
      </c>
      <c r="O27" s="15">
        <f>IF(N27="Max",400,(K27*100)+N27)</f>
        <v>400</v>
      </c>
      <c r="P27"/>
      <c r="Q27" s="16">
        <v>1</v>
      </c>
      <c r="R27" s="10" t="str">
        <f>IF($K27+$K28+$K29+$K30=6,INDEX(J27:J30,MATCH($Q27,I27:I30,0)),"Pdte")</f>
        <v>Pdte</v>
      </c>
    </row>
    <row r="28" spans="1:18" s="1" customFormat="1" ht="18.75" x14ac:dyDescent="0.3">
      <c r="A28" s="12">
        <v>0.63194444444444442</v>
      </c>
      <c r="B28" s="8">
        <v>7</v>
      </c>
      <c r="C28" s="9" t="str">
        <f>J27</f>
        <v>MAGALLON-BARBERO</v>
      </c>
      <c r="D28" s="9" t="str">
        <f>J30</f>
        <v>GAÏTAUD-ANHORA</v>
      </c>
      <c r="E28" s="33" t="str">
        <f>J29</f>
        <v>SANGALLI-BUJ</v>
      </c>
      <c r="F28" s="13"/>
      <c r="G28" s="14"/>
      <c r="I28" s="10">
        <f>RANK(O28,O27:O30,0)</f>
        <v>1</v>
      </c>
      <c r="J28" s="9" t="s">
        <v>34</v>
      </c>
      <c r="K28" s="8">
        <f>(IF(F27&gt;G27,1,IF(F27&lt;G27,0,))+(IF(F29&gt;G29,1,IF(F29&lt;G29,0,))+(IF(G30&gt;F30,1,IF(G30&lt;F30,0,)))))</f>
        <v>0</v>
      </c>
      <c r="L28" s="8">
        <f>F27+F29+G30</f>
        <v>0</v>
      </c>
      <c r="M28" s="8">
        <f>G27+G29+F30</f>
        <v>0</v>
      </c>
      <c r="N28" s="15" t="str">
        <f>IFERROR(L28/M28,"Max")</f>
        <v>Max</v>
      </c>
      <c r="O28" s="15">
        <f>IF(N28="Max",400,(K28*100)+N28)</f>
        <v>400</v>
      </c>
      <c r="P28"/>
      <c r="Q28" s="16">
        <v>2</v>
      </c>
      <c r="R28" s="10" t="str">
        <f>IF($K28+$K29+$K30+$K27=6,INDEX(J27:J30,MATCH($Q28,I27:I30,0)),"Pdte")</f>
        <v>Pdte</v>
      </c>
    </row>
    <row r="29" spans="1:18" s="1" customFormat="1" ht="18.75" x14ac:dyDescent="0.3">
      <c r="A29" s="12">
        <v>0.64583333333333337</v>
      </c>
      <c r="B29" s="8">
        <v>7</v>
      </c>
      <c r="C29" s="9" t="str">
        <f>J28</f>
        <v>AGORRETA-RABAL</v>
      </c>
      <c r="D29" s="9" t="str">
        <f>J29</f>
        <v>SANGALLI-BUJ</v>
      </c>
      <c r="E29" s="33" t="str">
        <f>J30</f>
        <v>GAÏTAUD-ANHORA</v>
      </c>
      <c r="F29" s="13"/>
      <c r="G29" s="14"/>
      <c r="I29" s="10">
        <f>RANK(O29,O27:O30,0)</f>
        <v>1</v>
      </c>
      <c r="J29" s="9" t="s">
        <v>141</v>
      </c>
      <c r="K29" s="8">
        <f>(IF(G26&gt;F26,1,IF(G26&lt;F26,0,))+(IF(G29&gt;F29,1,IF(G29&lt;F29,0,))+(IF(F31&gt;G31,1,IF(F31&lt;G31,0,)))))</f>
        <v>0</v>
      </c>
      <c r="L29" s="8">
        <f>G26+G29+F31</f>
        <v>0</v>
      </c>
      <c r="M29" s="8">
        <f>F26+F29+G31</f>
        <v>0</v>
      </c>
      <c r="N29" s="15" t="str">
        <f>IFERROR(L29/M29,"Max")</f>
        <v>Max</v>
      </c>
      <c r="O29" s="15">
        <f>IF(N29="Max",400,(K29*100)+N29)</f>
        <v>400</v>
      </c>
      <c r="P29"/>
      <c r="Q29" s="16">
        <v>3</v>
      </c>
      <c r="R29" s="10" t="str">
        <f>IF($K29+$K30+$K27+$K28=6,INDEX(J27:J30,MATCH($Q29,I27:I30,0)),"Pdte")</f>
        <v>Pdte</v>
      </c>
    </row>
    <row r="30" spans="1:18" s="1" customFormat="1" ht="18.75" x14ac:dyDescent="0.3">
      <c r="A30" s="12">
        <v>0.65972222222222221</v>
      </c>
      <c r="B30" s="8">
        <v>7</v>
      </c>
      <c r="C30" s="9" t="str">
        <f>J27</f>
        <v>MAGALLON-BARBERO</v>
      </c>
      <c r="D30" s="9" t="str">
        <f>J28</f>
        <v>AGORRETA-RABAL</v>
      </c>
      <c r="E30" s="33" t="str">
        <f>J29</f>
        <v>SANGALLI-BUJ</v>
      </c>
      <c r="F30" s="13"/>
      <c r="G30" s="14"/>
      <c r="I30" s="10">
        <f>RANK(O30,O27:O30,0)</f>
        <v>1</v>
      </c>
      <c r="J30" s="9" t="s">
        <v>146</v>
      </c>
      <c r="K30" s="8">
        <f>(IF(G27&gt;F27,1,IF(G27&lt;F27,0,))+(IF(G28&gt;F28,1,IF(G28&lt;F28,0,))+(IF(G31&gt;F31,1,IF(G31&lt;F31,0,)))))</f>
        <v>0</v>
      </c>
      <c r="L30" s="8">
        <f>G27+G28+G31</f>
        <v>0</v>
      </c>
      <c r="M30" s="8">
        <f>F27+F28+F31</f>
        <v>0</v>
      </c>
      <c r="N30" s="15" t="str">
        <f>IFERROR(L30/M30,"Max")</f>
        <v>Max</v>
      </c>
      <c r="O30" s="15">
        <f>IF(N30="Max",400,(K30*100)+N30)</f>
        <v>400</v>
      </c>
      <c r="P30"/>
      <c r="Q30" s="16">
        <v>4</v>
      </c>
      <c r="R30" s="10" t="str">
        <f>IF($K27+$K28+$K29+$K30=6,INDEX(J27:J30,MATCH($Q30,I27:I30,0)),"Pdte")</f>
        <v>Pdte</v>
      </c>
    </row>
    <row r="31" spans="1:18" s="1" customFormat="1" ht="21.75" customHeight="1" x14ac:dyDescent="0.25">
      <c r="A31" s="12">
        <v>0.67361111111111116</v>
      </c>
      <c r="B31" s="8">
        <v>7</v>
      </c>
      <c r="C31" s="9" t="str">
        <f>J29</f>
        <v>SANGALLI-BUJ</v>
      </c>
      <c r="D31" s="9" t="str">
        <f>J30</f>
        <v>GAÏTAUD-ANHORA</v>
      </c>
      <c r="E31" s="33" t="str">
        <f>J27</f>
        <v>MAGALLON-BARBERO</v>
      </c>
      <c r="F31" s="13"/>
      <c r="G31" s="14"/>
    </row>
    <row r="32" spans="1:18" ht="21.75" customHeight="1" x14ac:dyDescent="0.25"/>
    <row r="33" spans="1:18" ht="18.75" customHeight="1" x14ac:dyDescent="0.25">
      <c r="A33" s="8" t="s">
        <v>172</v>
      </c>
      <c r="B33" s="11"/>
    </row>
    <row r="34" spans="1:18" ht="18.75" customHeight="1" x14ac:dyDescent="0.25">
      <c r="A34" s="8" t="s">
        <v>46</v>
      </c>
      <c r="B34" s="8" t="s">
        <v>47</v>
      </c>
      <c r="C34" s="8" t="s">
        <v>48</v>
      </c>
      <c r="D34" s="8" t="s">
        <v>49</v>
      </c>
      <c r="E34" s="8" t="s">
        <v>170</v>
      </c>
      <c r="F34" s="8" t="s">
        <v>51</v>
      </c>
      <c r="G34" s="8" t="s">
        <v>51</v>
      </c>
      <c r="I34" s="49" t="s">
        <v>52</v>
      </c>
      <c r="J34" s="48" t="s">
        <v>173</v>
      </c>
      <c r="K34" s="49" t="s">
        <v>53</v>
      </c>
      <c r="L34" s="49" t="s">
        <v>54</v>
      </c>
      <c r="M34" s="49" t="s">
        <v>55</v>
      </c>
      <c r="N34" s="49" t="s">
        <v>56</v>
      </c>
      <c r="P34" s="47"/>
      <c r="Q34" s="49" t="s">
        <v>58</v>
      </c>
      <c r="R34" s="49"/>
    </row>
    <row r="35" spans="1:18" ht="18.75" customHeight="1" x14ac:dyDescent="0.25">
      <c r="A35" s="11"/>
      <c r="B35" s="11"/>
      <c r="C35" s="11"/>
      <c r="D35" s="11"/>
      <c r="E35" s="11"/>
      <c r="F35" s="11"/>
      <c r="G35" s="11"/>
      <c r="I35" s="49">
        <f>RANK(N35,N$35:N$37,0)</f>
        <v>1</v>
      </c>
      <c r="J35" s="48" t="str">
        <f>IF(R10="Pdte","1r Grup A",R10)</f>
        <v>1r Grup A</v>
      </c>
      <c r="K35" s="49">
        <f>IF(R10="Pdte",0,INDEX(K10:K13,MATCH(J35,J10:J13,0)))</f>
        <v>0</v>
      </c>
      <c r="L35" s="49">
        <f>IF(R10="Pdte",0,INDEX(L10:L13,MATCH(J35,J10:J13,0)))</f>
        <v>0</v>
      </c>
      <c r="M35" s="49">
        <f>IF(R10="Pdte",0,INDEX(M10:M13,MATCH(J35,J10:J13,0)))</f>
        <v>0</v>
      </c>
      <c r="N35" s="49">
        <f>IF(R10="Pdte",0,INDEX(N10:N13,MATCH(J35,J10:J13,0)))</f>
        <v>0</v>
      </c>
      <c r="P35" s="47"/>
      <c r="Q35" s="49">
        <v>1</v>
      </c>
      <c r="R35" s="49" t="str">
        <f>IF($K35+$K36+$K37&gt;1,INDEX(J35:$J37,MATCH($Q35,$I$35:$I$37,0)),"Pdte")</f>
        <v>Pdte</v>
      </c>
    </row>
    <row r="36" spans="1:18" ht="18.75" customHeight="1" x14ac:dyDescent="0.25">
      <c r="A36" s="11"/>
      <c r="B36" s="11" t="s">
        <v>174</v>
      </c>
      <c r="C36" s="8" t="s">
        <v>175</v>
      </c>
      <c r="D36" s="8" t="s">
        <v>176</v>
      </c>
      <c r="E36" s="8" t="s">
        <v>177</v>
      </c>
      <c r="I36" s="49">
        <f>RANK(N36,N$35:N$37,0)</f>
        <v>1</v>
      </c>
      <c r="J36" s="48" t="str">
        <f>IF(R19="Pdte","1r Grup B",R19)</f>
        <v>1r Grup B</v>
      </c>
      <c r="K36" s="49">
        <f>IF(R19="Pdte",0,INDEX(K19:K22,MATCH(J36,J19:J22,0)))</f>
        <v>0</v>
      </c>
      <c r="L36" s="49">
        <f>IF(R19="Pdte",0,INDEX(L19:L22,MATCH(J36,J19:J22,0)))</f>
        <v>0</v>
      </c>
      <c r="M36" s="49">
        <f>IF(R19="Pdte",0,INDEX(M19:M22,MATCH(J36,J19:J22,0)))</f>
        <v>0</v>
      </c>
      <c r="N36" s="49">
        <f>IF(R19="Pdte",0,INDEX(N19:N22,MATCH(J36,J19:J22,0)))</f>
        <v>0</v>
      </c>
      <c r="P36" s="47"/>
      <c r="Q36" s="49">
        <v>2</v>
      </c>
      <c r="R36" s="49" t="str">
        <f>IF($K36+$K37+$K35&gt;1,INDEX(J35:$J37,MATCH($Q36,$I$35:$I$37,0)),"Pdte")</f>
        <v>Pdte</v>
      </c>
    </row>
    <row r="37" spans="1:18" ht="18.75" customHeight="1" x14ac:dyDescent="0.25">
      <c r="A37" s="46">
        <f>A14+0.0245</f>
        <v>0.69811111111111113</v>
      </c>
      <c r="B37" s="8">
        <v>5</v>
      </c>
      <c r="C37" s="8" t="str">
        <f>IF(R37="Pdte"," ",R37)</f>
        <v xml:space="preserve"> </v>
      </c>
      <c r="D37" s="8" t="str">
        <f>IF(R43="Pdte"," ",R43)</f>
        <v xml:space="preserve"> </v>
      </c>
      <c r="E37" s="8" t="str">
        <f>IF(R36="Pdte"," ",R36)</f>
        <v xml:space="preserve"> </v>
      </c>
      <c r="F37" s="45"/>
      <c r="G37" s="44"/>
      <c r="I37" s="49">
        <f>RANK(N37,N$35:N$37,0)</f>
        <v>1</v>
      </c>
      <c r="J37" s="48" t="str">
        <f>IF(R27="Pdte","1r Grup C",R27)</f>
        <v>1r Grup C</v>
      </c>
      <c r="K37" s="49">
        <f>IF(R27="Pdte",0,INDEX(K27:K30,MATCH(J37,J27:J30,0)))</f>
        <v>0</v>
      </c>
      <c r="L37" s="49">
        <f>IF(R27="Pdte",0,INDEX(L27:L30,MATCH(J37,J27:J30,0)))</f>
        <v>0</v>
      </c>
      <c r="M37" s="49">
        <f>IF(R27="Pdte",0,INDEX(M27:M30,MATCH(J37,J27:J30,0)))</f>
        <v>0</v>
      </c>
      <c r="N37" s="49">
        <f>IF(R27="Pdte",0,INDEX(N27:N30,MATCH(J37,J27:J30,0)))</f>
        <v>0</v>
      </c>
      <c r="P37" s="43"/>
      <c r="Q37" s="49">
        <v>3</v>
      </c>
      <c r="R37" s="49" t="str">
        <f>IF($K37+$K36+$K35&gt;1,INDEX(J35:$J37,MATCH($Q37,$I$35:$I$37,0)),"Pdte")</f>
        <v>Pdte</v>
      </c>
    </row>
    <row r="38" spans="1:18" ht="18.75" customHeight="1" x14ac:dyDescent="0.25">
      <c r="A38" s="11"/>
      <c r="B38" s="11"/>
    </row>
    <row r="39" spans="1:18" ht="18.75" customHeight="1" x14ac:dyDescent="0.25">
      <c r="A39" s="11"/>
      <c r="B39" s="11" t="s">
        <v>178</v>
      </c>
      <c r="C39" s="8" t="s">
        <v>179</v>
      </c>
      <c r="D39" s="8" t="s">
        <v>180</v>
      </c>
      <c r="E39" s="8" t="s">
        <v>181</v>
      </c>
    </row>
    <row r="40" spans="1:18" ht="18.75" customHeight="1" x14ac:dyDescent="0.25">
      <c r="A40" s="46">
        <f>A14+0.0245</f>
        <v>0.69811111111111113</v>
      </c>
      <c r="B40" s="8">
        <f>L5</f>
        <v>0</v>
      </c>
      <c r="C40" s="8" t="str">
        <f>IF(R41="Pdte"," ",R41)</f>
        <v xml:space="preserve"> </v>
      </c>
      <c r="D40" s="8" t="str">
        <f>IF(R42="Pdte"," ",R42)</f>
        <v xml:space="preserve"> </v>
      </c>
      <c r="E40" s="8" t="str">
        <f>IF(R35="Pdte"," ",R35)</f>
        <v xml:space="preserve"> </v>
      </c>
      <c r="F40" s="45"/>
      <c r="G40" s="44"/>
      <c r="I40" s="49" t="s">
        <v>52</v>
      </c>
      <c r="J40" s="48" t="s">
        <v>182</v>
      </c>
      <c r="K40" s="49" t="s">
        <v>53</v>
      </c>
      <c r="L40" s="49" t="s">
        <v>54</v>
      </c>
      <c r="M40" s="49" t="s">
        <v>55</v>
      </c>
      <c r="N40" s="49" t="s">
        <v>56</v>
      </c>
      <c r="P40" s="47"/>
      <c r="Q40" s="49" t="s">
        <v>58</v>
      </c>
      <c r="R40" s="49"/>
    </row>
    <row r="41" spans="1:18" ht="18.75" customHeight="1" x14ac:dyDescent="0.25">
      <c r="A41" s="11"/>
      <c r="B41" s="11"/>
      <c r="C41" s="11"/>
      <c r="D41" s="11"/>
      <c r="E41" s="11"/>
      <c r="F41" s="11"/>
      <c r="G41" s="11"/>
      <c r="I41" s="49">
        <f>RANK(N41,N$41:N$43,0)</f>
        <v>1</v>
      </c>
      <c r="J41" s="48" t="str">
        <f>IF(R11="Pdte","2n Grup A",R11)</f>
        <v>2n Grup A</v>
      </c>
      <c r="K41" s="49">
        <f>IF(R11="Pdte",0,INDEX(K10:K13,MATCH(J41,J10:J13,0)))</f>
        <v>0</v>
      </c>
      <c r="L41" s="49">
        <f>IF(R11="Pdte",0,INDEX(L10:L13,MATCH(J41,J10:J13,0)))</f>
        <v>0</v>
      </c>
      <c r="M41" s="49">
        <f>IF(R11="Pdte",0,INDEX(M10:M13,MATCH(J41,J10:J13,0)))</f>
        <v>0</v>
      </c>
      <c r="N41" s="49">
        <f>IF(R11="Pdte",0,INDEX(N10:N13,MATCH(J41,J10:J13,0)))</f>
        <v>0</v>
      </c>
      <c r="P41" s="47"/>
      <c r="Q41" s="49">
        <v>1</v>
      </c>
      <c r="R41" s="49" t="str">
        <f>IF($K41+$K42+$K43&gt;1,INDEX(J41:$J43,MATCH($Q41,$I$41:$I$43,0)),"Pdte")</f>
        <v>Pdte</v>
      </c>
    </row>
    <row r="42" spans="1:18" ht="18.75" customHeight="1" x14ac:dyDescent="0.25">
      <c r="A42" s="11"/>
      <c r="B42" s="11" t="s">
        <v>183</v>
      </c>
      <c r="C42" s="8" t="s">
        <v>177</v>
      </c>
      <c r="D42" s="8" t="s">
        <v>184</v>
      </c>
      <c r="E42" s="8" t="s">
        <v>185</v>
      </c>
      <c r="I42" s="49">
        <f>RANK(N42,N$41:N$43,0)</f>
        <v>1</v>
      </c>
      <c r="J42" s="48" t="str">
        <f>IF(R20="Pdte","2n Grup B",R20)</f>
        <v>2n Grup B</v>
      </c>
      <c r="K42" s="49">
        <f>IF(R20="Pdte",0,INDEX(K19:K22,MATCH(J42,J19:J22,0)))</f>
        <v>0</v>
      </c>
      <c r="L42" s="49">
        <f>IF(R20="Pdte",0,INDEX(L19:L22,MATCH(J42,J19:J22,0)))</f>
        <v>0</v>
      </c>
      <c r="M42" s="49">
        <f>IF(R20="Pdte",0,INDEX(M19:M22,MATCH(J42,J19:J22,0)))</f>
        <v>0</v>
      </c>
      <c r="N42" s="49">
        <f>IF(R20="Pdte",0,INDEX(N19:N22,MATCH(J42,J19:J22,0)))</f>
        <v>0</v>
      </c>
      <c r="P42" s="47"/>
      <c r="Q42" s="49">
        <v>2</v>
      </c>
      <c r="R42" s="49" t="str">
        <f>IF($K42+$K43+$K41&gt;1,INDEX(J41:$J43,MATCH($Q42,$I$41:$I$43,0)),"Pdte")</f>
        <v>Pdte</v>
      </c>
    </row>
    <row r="43" spans="1:18" ht="18.75" customHeight="1" x14ac:dyDescent="0.25">
      <c r="A43" s="46">
        <f>A37+0.0175</f>
        <v>0.71561111111111109</v>
      </c>
      <c r="B43" s="8">
        <v>5</v>
      </c>
      <c r="C43" s="8" t="str">
        <f>IF(R36="Pdte"," ",R36)</f>
        <v xml:space="preserve"> </v>
      </c>
      <c r="D43" s="8" t="str">
        <f>IF(F37&gt;G37,C37,IF(F37&lt;G37,D37," "))</f>
        <v xml:space="preserve"> </v>
      </c>
      <c r="E43" s="8" t="str">
        <f>IF(F37&gt;G37,D37,IF(F37&lt;G37,C37," "))</f>
        <v xml:space="preserve"> </v>
      </c>
      <c r="F43" s="45"/>
      <c r="G43" s="44"/>
      <c r="I43" s="49">
        <f>RANK(N43,N$41:N$43,0)</f>
        <v>1</v>
      </c>
      <c r="J43" s="48" t="str">
        <f>IF(R28="Pdte","2n Grup C",R28)</f>
        <v>2n Grup C</v>
      </c>
      <c r="K43" s="49">
        <f>IF(R28="Pdte",0,INDEX(K27:K30,MATCH(J43,J27:J30,0)))</f>
        <v>0</v>
      </c>
      <c r="L43" s="49">
        <f>IF(R28="Pdte",0,INDEX(L27:L30,MATCH(J43,J27:J30,0)))</f>
        <v>0</v>
      </c>
      <c r="M43" s="49">
        <f>IF(R28="Pdte",0,INDEX(M27:M30,MATCH(J43,J27:J30,0)))</f>
        <v>0</v>
      </c>
      <c r="N43" s="49">
        <f>IF(R28="Pdte",0,INDEX(N27:N30,MATCH(J43,J27:J30,0)))</f>
        <v>0</v>
      </c>
      <c r="P43" s="43"/>
      <c r="Q43" s="49">
        <v>3</v>
      </c>
      <c r="R43" s="49" t="str">
        <f>IF($K43+$K42+$K41&gt;1,INDEX(J41:$J43,MATCH($Q43,$I$41:$I$43,0)),"Pdte")</f>
        <v>Pdte</v>
      </c>
    </row>
    <row r="44" spans="1:18" ht="18.75" customHeight="1" x14ac:dyDescent="0.25">
      <c r="A44" s="11"/>
      <c r="B44" s="11"/>
    </row>
    <row r="45" spans="1:18" ht="18.75" customHeight="1" x14ac:dyDescent="0.25">
      <c r="A45" s="11"/>
      <c r="B45" s="11" t="s">
        <v>186</v>
      </c>
      <c r="C45" s="8" t="s">
        <v>181</v>
      </c>
      <c r="D45" s="8" t="s">
        <v>187</v>
      </c>
      <c r="E45" s="8" t="s">
        <v>188</v>
      </c>
    </row>
    <row r="46" spans="1:18" ht="18.75" customHeight="1" x14ac:dyDescent="0.25">
      <c r="A46" s="46">
        <f>A37+0.0175</f>
        <v>0.71561111111111109</v>
      </c>
      <c r="B46" s="8">
        <f>L5</f>
        <v>0</v>
      </c>
      <c r="C46" s="8" t="str">
        <f>IF(R35="Pdte"," ",R35)</f>
        <v xml:space="preserve"> </v>
      </c>
      <c r="D46" s="8" t="str">
        <f>IF(F40&gt;G40,C40,IF(F40&lt;G40,D40," "))</f>
        <v xml:space="preserve"> </v>
      </c>
      <c r="E46" s="8" t="str">
        <f>IF(F40&gt;G40,D40,IF(F40&lt;G40,C40," "))</f>
        <v xml:space="preserve"> </v>
      </c>
      <c r="F46" s="45"/>
      <c r="G46" s="44"/>
    </row>
    <row r="47" spans="1:18" ht="18.75" customHeight="1" x14ac:dyDescent="0.25">
      <c r="A47" s="11"/>
      <c r="B47" s="11"/>
    </row>
    <row r="48" spans="1:18" ht="24.75" customHeight="1" x14ac:dyDescent="0.25">
      <c r="A48" s="11"/>
      <c r="B48" s="11" t="s">
        <v>64</v>
      </c>
      <c r="C48" s="8" t="s">
        <v>189</v>
      </c>
      <c r="D48" s="8" t="s">
        <v>190</v>
      </c>
    </row>
    <row r="49" spans="1:21" ht="24.75" customHeight="1" x14ac:dyDescent="0.25">
      <c r="A49" s="12">
        <f>A43+0.0175</f>
        <v>0.73311111111111105</v>
      </c>
      <c r="B49" s="25">
        <v>5</v>
      </c>
      <c r="C49" s="8" t="str">
        <f>IF(F43&gt;G43,C43,IF(F43&lt;G43,D43," "))</f>
        <v xml:space="preserve"> </v>
      </c>
      <c r="D49" s="8" t="str">
        <f>IF(F46&gt;G46,C46,IF(F46&lt;G46,D46," "))</f>
        <v xml:space="preserve"> </v>
      </c>
      <c r="E49" s="8" t="s">
        <v>191</v>
      </c>
      <c r="F49" s="45"/>
      <c r="G49" s="44"/>
    </row>
    <row r="53" spans="1:21" x14ac:dyDescent="0.25">
      <c r="B53" t="s">
        <v>207</v>
      </c>
    </row>
    <row r="55" spans="1:21" s="1" customFormat="1" ht="21.75" customHeight="1" x14ac:dyDescent="0.3">
      <c r="A55" s="8" t="s">
        <v>46</v>
      </c>
      <c r="B55" s="8" t="s">
        <v>47</v>
      </c>
      <c r="C55" s="9" t="s">
        <v>48</v>
      </c>
      <c r="D55" s="9" t="s">
        <v>49</v>
      </c>
      <c r="E55" s="8" t="s">
        <v>50</v>
      </c>
      <c r="F55" s="9" t="s">
        <v>51</v>
      </c>
      <c r="G55" s="9" t="s">
        <v>51</v>
      </c>
      <c r="I55" s="10" t="s">
        <v>52</v>
      </c>
      <c r="J55" s="11" t="s">
        <v>59</v>
      </c>
      <c r="K55" s="8" t="s">
        <v>53</v>
      </c>
      <c r="L55" s="8" t="s">
        <v>54</v>
      </c>
      <c r="M55" s="8" t="s">
        <v>55</v>
      </c>
      <c r="N55" s="9" t="s">
        <v>56</v>
      </c>
      <c r="O55" s="9" t="s">
        <v>57</v>
      </c>
      <c r="Q55" s="8" t="s">
        <v>58</v>
      </c>
      <c r="R55" s="8" t="s">
        <v>59</v>
      </c>
    </row>
    <row r="56" spans="1:21" ht="21.75" customHeight="1" x14ac:dyDescent="0.3">
      <c r="A56" s="12">
        <v>0.69097222222222221</v>
      </c>
      <c r="B56" s="8">
        <v>6</v>
      </c>
      <c r="C56" s="9" t="str">
        <f>IF(R12="Pdte","3r Grup A ",R12)</f>
        <v xml:space="preserve">3r Grup A </v>
      </c>
      <c r="D56" s="9" t="str">
        <f>IF(R29="Pdte","3r Grup C ",R29)</f>
        <v xml:space="preserve">3r Grup C </v>
      </c>
      <c r="E56" s="33" t="str">
        <f>IF(R21="Pdte","3r Grup B ",R21)</f>
        <v xml:space="preserve">3r Grup B </v>
      </c>
      <c r="F56" s="13"/>
      <c r="G56" s="14"/>
      <c r="I56" s="10">
        <f>RANK(O56,O56:O58,0)</f>
        <v>1</v>
      </c>
      <c r="J56" s="9" t="str">
        <f>IF(R12="Pdte","3r Grup A ",R12)</f>
        <v xml:space="preserve">3r Grup A </v>
      </c>
      <c r="K56" s="8">
        <f>(IF(F56&gt;G56,1,IF(F56&lt;G56,0,))+(IF(F58&gt;G58,1,IF(F58&lt;G58,0,))))</f>
        <v>0</v>
      </c>
      <c r="L56" s="8">
        <f>F56+F58</f>
        <v>0</v>
      </c>
      <c r="M56" s="8">
        <f>G56+G58</f>
        <v>0</v>
      </c>
      <c r="N56" s="15" t="str">
        <f t="shared" ref="N56:N58" si="0">IFERROR(L56/M56,"Max")</f>
        <v>Max</v>
      </c>
      <c r="O56" s="15">
        <f>IF(N56="Max",400,(K56*100)+N56)</f>
        <v>400</v>
      </c>
      <c r="P56" s="1"/>
      <c r="Q56" s="16">
        <v>1</v>
      </c>
      <c r="R56" s="10" t="str">
        <f>IF($K56+$K57+$K58=6,INDEX(J56:J58,MATCH($Q56,I56:I58,0)),"Pdte")</f>
        <v>Pdte</v>
      </c>
      <c r="S56" s="1"/>
      <c r="T56" s="1"/>
      <c r="U56" s="1"/>
    </row>
    <row r="57" spans="1:21" ht="21.75" customHeight="1" x14ac:dyDescent="0.3">
      <c r="A57" s="12">
        <v>0.70486111111111116</v>
      </c>
      <c r="B57" s="8">
        <v>6</v>
      </c>
      <c r="C57" s="9" t="str">
        <f>IF(R21="Pdte","3r Grup B ",R21)</f>
        <v xml:space="preserve">3r Grup B </v>
      </c>
      <c r="D57" s="9" t="str">
        <f>IF(R29="Pdte","3r Grup C ",R29)</f>
        <v xml:space="preserve">3r Grup C </v>
      </c>
      <c r="E57" s="33" t="str">
        <f>IF(R12="Pdte","3r Grup A ",R12)</f>
        <v xml:space="preserve">3r Grup A </v>
      </c>
      <c r="F57" s="13"/>
      <c r="G57" s="14"/>
      <c r="I57" s="10">
        <f>RANK(O57,O56:O58,0)</f>
        <v>1</v>
      </c>
      <c r="J57" s="9" t="str">
        <f>IF(R21="Pdte","3r Grup B ",R21)</f>
        <v xml:space="preserve">3r Grup B </v>
      </c>
      <c r="K57" s="8">
        <f>(IF(F57&gt;G57,1,IF(F57&lt;G57,0,))+(IF(G58&gt;F58,1,IF(G58&lt;F58,0,))))</f>
        <v>0</v>
      </c>
      <c r="L57" s="8">
        <f>F57+G58</f>
        <v>0</v>
      </c>
      <c r="M57" s="8">
        <f>G57+F58</f>
        <v>0</v>
      </c>
      <c r="N57" s="15" t="str">
        <f t="shared" si="0"/>
        <v>Max</v>
      </c>
      <c r="O57" s="15">
        <f>IF(N57="Max",400,(K57*100)+N57)</f>
        <v>400</v>
      </c>
      <c r="P57" s="1"/>
      <c r="Q57" s="16">
        <v>2</v>
      </c>
      <c r="R57" s="10" t="str">
        <f>IF($K57+$K58+$K56=6,INDEX(J56:J58,MATCH($Q57,I56:I58,0)),"Pdte")</f>
        <v>Pdte</v>
      </c>
      <c r="S57" s="1"/>
      <c r="T57" s="1"/>
      <c r="U57" s="1"/>
    </row>
    <row r="58" spans="1:21" ht="21.75" customHeight="1" x14ac:dyDescent="0.3">
      <c r="A58" s="12">
        <v>0.71875</v>
      </c>
      <c r="B58" s="8">
        <v>6</v>
      </c>
      <c r="C58" s="9" t="str">
        <f>IF(R12="Pdte","3r Grup A ",R12)</f>
        <v xml:space="preserve">3r Grup A </v>
      </c>
      <c r="D58" s="9" t="str">
        <f>IF(R21="Pdte","3r Grup B ",R21)</f>
        <v xml:space="preserve">3r Grup B </v>
      </c>
      <c r="E58" s="33" t="str">
        <f>IF(R29="Pdte","3r Grup C ",R29)</f>
        <v xml:space="preserve">3r Grup C </v>
      </c>
      <c r="F58" s="13"/>
      <c r="G58" s="14"/>
      <c r="I58" s="10">
        <f>RANK(O58,O56:O58,0)</f>
        <v>1</v>
      </c>
      <c r="J58" s="9" t="str">
        <f>IF(R29="Pdte","3r Grup C ",R29)</f>
        <v xml:space="preserve">3r Grup C </v>
      </c>
      <c r="K58" s="8">
        <f>(IF(G56&gt;F56,1,IF(G56&lt;F56,0,))+(IF(G57&gt;F57,1,IF(G57&lt;F57,0,))))</f>
        <v>0</v>
      </c>
      <c r="L58" s="8">
        <f>G56+G57</f>
        <v>0</v>
      </c>
      <c r="M58" s="8">
        <f>F56+F57</f>
        <v>0</v>
      </c>
      <c r="N58" s="15" t="str">
        <f t="shared" si="0"/>
        <v>Max</v>
      </c>
      <c r="O58" s="15">
        <f>IF(N58="Max",400,(K58*100)+N58)</f>
        <v>400</v>
      </c>
      <c r="P58" s="1"/>
      <c r="Q58" s="16">
        <v>3</v>
      </c>
      <c r="R58" s="10" t="str">
        <f>IF($K58+$K57+$K56=6,INDEX(J56:J58,MATCH($Q58,I56:I58,0)),"Pdte")</f>
        <v>Pdte</v>
      </c>
      <c r="S58" s="1"/>
      <c r="T58" s="1"/>
      <c r="U58" s="1"/>
    </row>
    <row r="59" spans="1:21" s="1" customFormat="1" ht="21.75" customHeight="1" x14ac:dyDescent="0.25"/>
    <row r="60" spans="1:21" s="1" customFormat="1" ht="21.75" customHeight="1" x14ac:dyDescent="0.25">
      <c r="B60" t="s">
        <v>208</v>
      </c>
    </row>
    <row r="61" spans="1:21" s="1" customFormat="1" ht="21.75" customHeight="1" x14ac:dyDescent="0.25"/>
    <row r="62" spans="1:21" s="1" customFormat="1" ht="21.75" customHeight="1" x14ac:dyDescent="0.3">
      <c r="A62" s="8" t="s">
        <v>46</v>
      </c>
      <c r="B62" s="8" t="s">
        <v>47</v>
      </c>
      <c r="C62" s="9" t="s">
        <v>48</v>
      </c>
      <c r="D62" s="9" t="s">
        <v>49</v>
      </c>
      <c r="E62" s="8" t="s">
        <v>50</v>
      </c>
      <c r="F62" s="9" t="s">
        <v>51</v>
      </c>
      <c r="G62" s="9" t="s">
        <v>51</v>
      </c>
      <c r="I62" s="10" t="s">
        <v>52</v>
      </c>
      <c r="J62" s="11" t="s">
        <v>59</v>
      </c>
      <c r="K62" s="8" t="s">
        <v>53</v>
      </c>
      <c r="L62" s="8" t="s">
        <v>54</v>
      </c>
      <c r="M62" s="8" t="s">
        <v>55</v>
      </c>
      <c r="N62" s="9" t="s">
        <v>56</v>
      </c>
      <c r="O62" s="9" t="s">
        <v>57</v>
      </c>
      <c r="Q62" s="8" t="s">
        <v>58</v>
      </c>
      <c r="R62" s="8" t="s">
        <v>59</v>
      </c>
    </row>
    <row r="63" spans="1:21" ht="21.75" customHeight="1" x14ac:dyDescent="0.3">
      <c r="A63" s="12">
        <v>0.69097222222222221</v>
      </c>
      <c r="B63" s="8">
        <v>7</v>
      </c>
      <c r="C63" s="9" t="str">
        <f>IF(R13="Pdte","4t Grup A ",R13)</f>
        <v xml:space="preserve">4t Grup A </v>
      </c>
      <c r="D63" s="9" t="str">
        <f>IF(R30="Pdte","4t Grup C ",R30)</f>
        <v xml:space="preserve">4t Grup C </v>
      </c>
      <c r="E63" s="33" t="str">
        <f>IF(R22="Pdte","4t Grup B ",R22)</f>
        <v xml:space="preserve">4t Grup B </v>
      </c>
      <c r="F63" s="13"/>
      <c r="G63" s="14"/>
      <c r="I63" s="10">
        <f>RANK(O63,O63:O65,0)</f>
        <v>1</v>
      </c>
      <c r="J63" s="9" t="str">
        <f>IF(R13="Pdte","4t Grup A ",R13)</f>
        <v xml:space="preserve">4t Grup A </v>
      </c>
      <c r="K63" s="8">
        <f>(IF(F63&gt;G63,1,IF(F63&lt;G63,0,))+(IF(F65&gt;G65,1,IF(F65&lt;G65,0,))))</f>
        <v>0</v>
      </c>
      <c r="L63" s="8">
        <f>F63+F65</f>
        <v>0</v>
      </c>
      <c r="M63" s="8">
        <f>G63+G65</f>
        <v>0</v>
      </c>
      <c r="N63" s="15" t="str">
        <f t="shared" ref="N63:N65" si="1">IFERROR(L63/M63,"Max")</f>
        <v>Max</v>
      </c>
      <c r="O63" s="15">
        <f>IF(N63="Max",400,(K63*100)+N63)</f>
        <v>400</v>
      </c>
      <c r="P63" s="1"/>
      <c r="Q63" s="16">
        <v>1</v>
      </c>
      <c r="R63" s="10" t="str">
        <f>IF($K63+$K64+$K65=6,INDEX(J63:J65,MATCH($Q63,I63:I65,0)),"Pdte")</f>
        <v>Pdte</v>
      </c>
      <c r="S63" s="1"/>
      <c r="T63" s="1"/>
      <c r="U63" s="1"/>
    </row>
    <row r="64" spans="1:21" ht="21.75" customHeight="1" x14ac:dyDescent="0.3">
      <c r="A64" s="12">
        <v>0.70486111111111116</v>
      </c>
      <c r="B64" s="8">
        <v>7</v>
      </c>
      <c r="C64" s="9" t="str">
        <f>IF(R22="Pdte","4t Grup B ",R22)</f>
        <v xml:space="preserve">4t Grup B </v>
      </c>
      <c r="D64" s="9" t="str">
        <f>IF(R30="Pdte","4t Grup C ",R30)</f>
        <v xml:space="preserve">4t Grup C </v>
      </c>
      <c r="E64" s="33" t="str">
        <f>IF(R13="Pdte","4t Grup A ",R13)</f>
        <v xml:space="preserve">4t Grup A </v>
      </c>
      <c r="F64" s="13"/>
      <c r="G64" s="14"/>
      <c r="I64" s="10">
        <f>RANK(O64,O63:O65,0)</f>
        <v>1</v>
      </c>
      <c r="J64" s="9" t="str">
        <f>IF(R22="Pdte","4t Grup B ",R22)</f>
        <v xml:space="preserve">4t Grup B </v>
      </c>
      <c r="K64" s="8">
        <f>(IF(F64&gt;G64,1,IF(F64&lt;G64,0,))+(IF(G65&gt;F65,1,IF(G65&lt;F65,0,))))</f>
        <v>0</v>
      </c>
      <c r="L64" s="8">
        <f>F64+G65</f>
        <v>0</v>
      </c>
      <c r="M64" s="8">
        <f>G64+F65</f>
        <v>0</v>
      </c>
      <c r="N64" s="15" t="str">
        <f t="shared" si="1"/>
        <v>Max</v>
      </c>
      <c r="O64" s="15">
        <f>IF(N64="Max",400,(K64*100)+N64)</f>
        <v>400</v>
      </c>
      <c r="P64" s="1"/>
      <c r="Q64" s="16">
        <v>2</v>
      </c>
      <c r="R64" s="10" t="str">
        <f>IF($K64+$K65+$K63=6,INDEX(J63:J65,MATCH($Q64,I63:I65,0)),"Pdte")</f>
        <v>Pdte</v>
      </c>
      <c r="S64" s="1"/>
      <c r="T64" s="1"/>
      <c r="U64" s="1"/>
    </row>
    <row r="65" spans="1:21" ht="21.75" customHeight="1" x14ac:dyDescent="0.3">
      <c r="A65" s="12">
        <v>0.71875</v>
      </c>
      <c r="B65" s="8">
        <v>7</v>
      </c>
      <c r="C65" s="9" t="str">
        <f>IF(R13="Pdte","4t Grup A ",R13)</f>
        <v xml:space="preserve">4t Grup A </v>
      </c>
      <c r="D65" s="9" t="str">
        <f>IF(R22="Pdte","4t Grup B ",R22)</f>
        <v xml:space="preserve">4t Grup B </v>
      </c>
      <c r="E65" s="33" t="str">
        <f>IF(R30="Pdte","4t Grup C ",R30)</f>
        <v xml:space="preserve">4t Grup C </v>
      </c>
      <c r="F65" s="13"/>
      <c r="G65" s="14"/>
      <c r="I65" s="10">
        <f>RANK(O65,O63:O65,0)</f>
        <v>1</v>
      </c>
      <c r="J65" s="9" t="str">
        <f>IF(R30="Pdte","4t Grup C ",R30)</f>
        <v xml:space="preserve">4t Grup C </v>
      </c>
      <c r="K65" s="8">
        <f>(IF(G63&gt;F63,1,IF(G63&lt;F63,0,))+(IF(G64&gt;F64,1,IF(G64&lt;F64,0,))))</f>
        <v>0</v>
      </c>
      <c r="L65" s="8">
        <f>G63+G64</f>
        <v>0</v>
      </c>
      <c r="M65" s="8">
        <f>F63+F64</f>
        <v>0</v>
      </c>
      <c r="N65" s="15" t="str">
        <f t="shared" si="1"/>
        <v>Max</v>
      </c>
      <c r="O65" s="15">
        <f>IF(N65="Max",400,(K65*100)+N65)</f>
        <v>400</v>
      </c>
      <c r="P65" s="1"/>
      <c r="Q65" s="16">
        <v>3</v>
      </c>
      <c r="R65" s="10" t="str">
        <f>IF($K65+$K64+$K63=6,INDEX(J63:J65,MATCH($Q65,I63:I65,0)),"Pdte")</f>
        <v>Pdte</v>
      </c>
      <c r="S65" s="1"/>
      <c r="T65" s="1"/>
      <c r="U65" s="1"/>
    </row>
  </sheetData>
  <mergeCells count="1">
    <mergeCell ref="A1:G6"/>
  </mergeCells>
  <conditionalFormatting sqref="R19:R22">
    <cfRule type="duplicateValues" dxfId="6" priority="7"/>
  </conditionalFormatting>
  <conditionalFormatting sqref="R10:R13">
    <cfRule type="duplicateValues" dxfId="5" priority="6"/>
  </conditionalFormatting>
  <conditionalFormatting sqref="R27:R30">
    <cfRule type="duplicateValues" dxfId="4" priority="5"/>
  </conditionalFormatting>
  <conditionalFormatting sqref="R56">
    <cfRule type="duplicateValues" dxfId="3" priority="4"/>
  </conditionalFormatting>
  <conditionalFormatting sqref="R57:R58">
    <cfRule type="duplicateValues" dxfId="2" priority="3"/>
  </conditionalFormatting>
  <conditionalFormatting sqref="R63">
    <cfRule type="duplicateValues" dxfId="1" priority="2"/>
  </conditionalFormatting>
  <conditionalFormatting sqref="R64:R65">
    <cfRule type="duplicateValues" dxfId="0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6B9662FACFB44795CD38E22AA1C164" ma:contentTypeVersion="12" ma:contentTypeDescription="Crear nuevo documento." ma:contentTypeScope="" ma:versionID="cd4c1cd7106acb324ec7f30b4022e6b8">
  <xsd:schema xmlns:xsd="http://www.w3.org/2001/XMLSchema" xmlns:xs="http://www.w3.org/2001/XMLSchema" xmlns:p="http://schemas.microsoft.com/office/2006/metadata/properties" xmlns:ns3="2feb3fa4-7f11-4806-9ec3-c839cb2d87a3" xmlns:ns4="432bccbf-364a-4aed-91b1-0523cb563def" targetNamespace="http://schemas.microsoft.com/office/2006/metadata/properties" ma:root="true" ma:fieldsID="537dfffecfa0ddda664c349e3db496fa" ns3:_="" ns4:_="">
    <xsd:import namespace="2feb3fa4-7f11-4806-9ec3-c839cb2d87a3"/>
    <xsd:import namespace="432bccbf-364a-4aed-91b1-0523cb563de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3fa4-7f11-4806-9ec3-c839cb2d87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bccbf-364a-4aed-91b1-0523cb56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700E49-2B9C-4BEB-9495-937724EBF4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3C4A1D-43F2-43AC-8625-FE54CB3A065D}">
  <ds:schemaRefs>
    <ds:schemaRef ds:uri="http://purl.org/dc/dcmitype/"/>
    <ds:schemaRef ds:uri="http://purl.org/dc/elements/1.1/"/>
    <ds:schemaRef ds:uri="http://schemas.openxmlformats.org/package/2006/metadata/core-properties"/>
    <ds:schemaRef ds:uri="2feb3fa4-7f11-4806-9ec3-c839cb2d87a3"/>
    <ds:schemaRef ds:uri="http://www.w3.org/XML/1998/namespace"/>
    <ds:schemaRef ds:uri="432bccbf-364a-4aed-91b1-0523cb563def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553E64C-1684-4BAA-8DCF-4C25A7C736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eb3fa4-7f11-4806-9ec3-c839cb2d87a3"/>
    <ds:schemaRef ds:uri="432bccbf-364a-4aed-91b1-0523cb563d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Entrada</vt:lpstr>
      <vt:lpstr>Sots 15 Masc</vt:lpstr>
      <vt:lpstr>Sots 17-19-21</vt:lpstr>
      <vt:lpstr>Menors Femenina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2022-01-21T13:57:39Z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0x010100486B9662FACFB44795CD38E22AA1C164</vt:lpwstr>
  </property>
</Properties>
</file>