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3040" windowHeight="9192" activeTab="1"/>
  </bookViews>
  <sheets>
    <sheet name="Chicas" sheetId="2" r:id="rId1"/>
    <sheet name="Chicos" sheetId="4" r:id="rId2"/>
    <sheet name="Entrada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2" l="1"/>
  <c r="E152" i="2" l="1"/>
  <c r="E104" i="2"/>
  <c r="F214" i="4"/>
  <c r="J13" i="2" l="1"/>
  <c r="J22" i="2"/>
  <c r="J30" i="2"/>
  <c r="J38" i="2"/>
  <c r="J47" i="2"/>
  <c r="J55" i="2"/>
  <c r="J54" i="2"/>
  <c r="J46" i="2"/>
  <c r="J37" i="2"/>
  <c r="J29" i="2"/>
  <c r="J21" i="2"/>
  <c r="J12" i="2"/>
  <c r="J11" i="2"/>
  <c r="J20" i="2"/>
  <c r="J28" i="2"/>
  <c r="J36" i="2"/>
  <c r="J45" i="2"/>
  <c r="J53" i="2"/>
  <c r="J52" i="2"/>
  <c r="J44" i="2"/>
  <c r="J35" i="2"/>
  <c r="J27" i="2"/>
  <c r="J19" i="2"/>
  <c r="C40" i="2"/>
  <c r="C32" i="2"/>
  <c r="E32" i="2"/>
  <c r="E23" i="2"/>
  <c r="C23" i="2"/>
  <c r="D13" i="2"/>
  <c r="J10" i="2"/>
  <c r="E13" i="2" s="1"/>
  <c r="C138" i="4"/>
  <c r="C126" i="4"/>
  <c r="C94" i="4"/>
  <c r="C93" i="4"/>
  <c r="C92" i="4"/>
  <c r="C91" i="4"/>
  <c r="C90" i="4"/>
  <c r="C89" i="4"/>
  <c r="K78" i="4"/>
  <c r="E81" i="4" s="1"/>
  <c r="K66" i="4"/>
  <c r="K14" i="4"/>
  <c r="K23" i="4"/>
  <c r="K31" i="4"/>
  <c r="K48" i="4"/>
  <c r="K57" i="4"/>
  <c r="E55" i="4" s="1"/>
  <c r="K64" i="4"/>
  <c r="D62" i="4" s="1"/>
  <c r="K56" i="4"/>
  <c r="F58" i="4" s="1"/>
  <c r="K47" i="4"/>
  <c r="K38" i="4"/>
  <c r="K30" i="4"/>
  <c r="K22" i="4"/>
  <c r="D25" i="4" s="1"/>
  <c r="K13" i="4"/>
  <c r="K65" i="4"/>
  <c r="E67" i="4" s="1"/>
  <c r="K77" i="4"/>
  <c r="E79" i="4" s="1"/>
  <c r="K76" i="4"/>
  <c r="F81" i="4" s="1"/>
  <c r="K12" i="4"/>
  <c r="K21" i="4"/>
  <c r="K29" i="4"/>
  <c r="K37" i="4"/>
  <c r="K46" i="4"/>
  <c r="K55" i="4"/>
  <c r="E58" i="4" s="1"/>
  <c r="K63" i="4"/>
  <c r="E70" i="4" s="1"/>
  <c r="K75" i="4"/>
  <c r="E82" i="4" s="1"/>
  <c r="K74" i="4"/>
  <c r="K62" i="4"/>
  <c r="K54" i="4"/>
  <c r="K45" i="4"/>
  <c r="K36" i="4"/>
  <c r="K28" i="4"/>
  <c r="D32" i="4" s="1"/>
  <c r="K20" i="4"/>
  <c r="D20" i="4" s="1"/>
  <c r="F83" i="4"/>
  <c r="D54" i="4"/>
  <c r="K39" i="4"/>
  <c r="E39" i="4" s="1"/>
  <c r="F41" i="4"/>
  <c r="D41" i="4"/>
  <c r="D33" i="4"/>
  <c r="D16" i="4"/>
  <c r="K11" i="4"/>
  <c r="D11" i="4" s="1"/>
  <c r="C214" i="4"/>
  <c r="C211" i="4"/>
  <c r="C208" i="4"/>
  <c r="F211" i="4"/>
  <c r="F208" i="4"/>
  <c r="B214" i="4"/>
  <c r="B208" i="4"/>
  <c r="B211" i="4"/>
  <c r="B205" i="4"/>
  <c r="B202" i="4"/>
  <c r="B199" i="4"/>
  <c r="B196" i="4"/>
  <c r="B193" i="4"/>
  <c r="B190" i="4"/>
  <c r="B187" i="4"/>
  <c r="B184" i="4"/>
  <c r="F205" i="4"/>
  <c r="F199" i="4"/>
  <c r="F196" i="4"/>
  <c r="F202" i="4"/>
  <c r="C205" i="4"/>
  <c r="C193" i="4"/>
  <c r="C202" i="4"/>
  <c r="C190" i="4"/>
  <c r="C199" i="4"/>
  <c r="C187" i="4"/>
  <c r="C196" i="4"/>
  <c r="C184" i="4"/>
  <c r="C107" i="4"/>
  <c r="D199" i="4"/>
  <c r="E196" i="4"/>
  <c r="C156" i="4"/>
  <c r="D205" i="4"/>
  <c r="D202" i="4"/>
  <c r="S175" i="4"/>
  <c r="S170" i="4"/>
  <c r="S165" i="4"/>
  <c r="S160" i="4"/>
  <c r="S155" i="4"/>
  <c r="S150" i="4"/>
  <c r="E214" i="4"/>
  <c r="D214" i="4"/>
  <c r="E211" i="4"/>
  <c r="D211" i="4"/>
  <c r="E208" i="4"/>
  <c r="D208" i="4"/>
  <c r="C178" i="4"/>
  <c r="C177" i="4"/>
  <c r="C176" i="4"/>
  <c r="C173" i="4"/>
  <c r="C172" i="4"/>
  <c r="C171" i="4"/>
  <c r="C168" i="4"/>
  <c r="C167" i="4"/>
  <c r="C166" i="4"/>
  <c r="C163" i="4"/>
  <c r="C161" i="4"/>
  <c r="C162" i="4"/>
  <c r="C158" i="4"/>
  <c r="C157" i="4"/>
  <c r="C153" i="4"/>
  <c r="C152" i="4"/>
  <c r="C151" i="4"/>
  <c r="B171" i="4"/>
  <c r="B176" i="4" s="1"/>
  <c r="B161" i="4"/>
  <c r="B151" i="4"/>
  <c r="B166" i="4"/>
  <c r="B162" i="4" s="1"/>
  <c r="B167" i="4" s="1"/>
  <c r="B163" i="4" s="1"/>
  <c r="B168" i="4" s="1"/>
  <c r="B156" i="4"/>
  <c r="B152" i="4" s="1"/>
  <c r="B157" i="4" s="1"/>
  <c r="B153" i="4" s="1"/>
  <c r="B158" i="4" s="1"/>
  <c r="L176" i="4"/>
  <c r="N178" i="4"/>
  <c r="M178" i="4"/>
  <c r="L178" i="4"/>
  <c r="N177" i="4"/>
  <c r="M177" i="4"/>
  <c r="L177" i="4"/>
  <c r="N176" i="4"/>
  <c r="M176" i="4"/>
  <c r="N173" i="4"/>
  <c r="M173" i="4"/>
  <c r="L173" i="4"/>
  <c r="N172" i="4"/>
  <c r="M172" i="4"/>
  <c r="L172" i="4"/>
  <c r="N171" i="4"/>
  <c r="M171" i="4"/>
  <c r="L171" i="4"/>
  <c r="N168" i="4"/>
  <c r="M168" i="4"/>
  <c r="L168" i="4"/>
  <c r="N167" i="4"/>
  <c r="M167" i="4"/>
  <c r="L167" i="4"/>
  <c r="N166" i="4"/>
  <c r="M166" i="4"/>
  <c r="L166" i="4"/>
  <c r="N163" i="4"/>
  <c r="M163" i="4"/>
  <c r="L163" i="4"/>
  <c r="N162" i="4"/>
  <c r="M162" i="4"/>
  <c r="L162" i="4"/>
  <c r="N161" i="4"/>
  <c r="M161" i="4"/>
  <c r="L161" i="4"/>
  <c r="N158" i="4"/>
  <c r="M158" i="4"/>
  <c r="L158" i="4"/>
  <c r="N157" i="4"/>
  <c r="M157" i="4"/>
  <c r="L157" i="4"/>
  <c r="N156" i="4"/>
  <c r="M156" i="4"/>
  <c r="L156" i="4"/>
  <c r="N153" i="4"/>
  <c r="M153" i="4"/>
  <c r="L153" i="4"/>
  <c r="N152" i="4"/>
  <c r="M152" i="4"/>
  <c r="L152" i="4"/>
  <c r="N151" i="4"/>
  <c r="M151" i="4"/>
  <c r="L151" i="4"/>
  <c r="A104" i="2"/>
  <c r="A101" i="2"/>
  <c r="A98" i="2"/>
  <c r="A95" i="2"/>
  <c r="A92" i="2"/>
  <c r="A89" i="2"/>
  <c r="A86" i="2"/>
  <c r="A80" i="2"/>
  <c r="C141" i="4"/>
  <c r="C135" i="4"/>
  <c r="C132" i="4"/>
  <c r="C120" i="4"/>
  <c r="C119" i="4"/>
  <c r="C118" i="4"/>
  <c r="C117" i="4"/>
  <c r="C116" i="4"/>
  <c r="C115" i="4"/>
  <c r="C111" i="4"/>
  <c r="C110" i="4"/>
  <c r="C109" i="4"/>
  <c r="C108" i="4"/>
  <c r="C106" i="4"/>
  <c r="C103" i="4"/>
  <c r="C102" i="4"/>
  <c r="C101" i="4"/>
  <c r="C100" i="4"/>
  <c r="C99" i="4"/>
  <c r="C98" i="4"/>
  <c r="B115" i="4"/>
  <c r="B116" i="4" s="1"/>
  <c r="B117" i="4" s="1"/>
  <c r="B118" i="4" s="1"/>
  <c r="B119" i="4" s="1"/>
  <c r="B120" i="4" s="1"/>
  <c r="B98" i="4"/>
  <c r="B106" i="4"/>
  <c r="B107" i="4" s="1"/>
  <c r="B108" i="4" s="1"/>
  <c r="B109" i="4" s="1"/>
  <c r="B110" i="4" s="1"/>
  <c r="B111" i="4" s="1"/>
  <c r="B99" i="4"/>
  <c r="B100" i="4" s="1"/>
  <c r="B101" i="4" s="1"/>
  <c r="B102" i="4" s="1"/>
  <c r="B103" i="4" s="1"/>
  <c r="B126" i="4" s="1"/>
  <c r="B74" i="4"/>
  <c r="B75" i="4" s="1"/>
  <c r="B76" i="4" s="1"/>
  <c r="B77" i="4" s="1"/>
  <c r="B78" i="4" s="1"/>
  <c r="B79" i="4" s="1"/>
  <c r="B80" i="4" s="1"/>
  <c r="B81" i="4" s="1"/>
  <c r="B82" i="4" s="1"/>
  <c r="B83" i="4" s="1"/>
  <c r="B89" i="4"/>
  <c r="B90" i="4" s="1"/>
  <c r="B91" i="4" s="1"/>
  <c r="B92" i="4" s="1"/>
  <c r="B93" i="4" s="1"/>
  <c r="B94" i="4" s="1"/>
  <c r="E144" i="4"/>
  <c r="D144" i="4"/>
  <c r="F141" i="4"/>
  <c r="E141" i="4"/>
  <c r="D141" i="4"/>
  <c r="F138" i="4"/>
  <c r="E138" i="4"/>
  <c r="D138" i="4"/>
  <c r="F135" i="4"/>
  <c r="N118" i="4"/>
  <c r="M118" i="4"/>
  <c r="L118" i="4"/>
  <c r="N117" i="4"/>
  <c r="M117" i="4"/>
  <c r="L117" i="4"/>
  <c r="N116" i="4"/>
  <c r="M116" i="4"/>
  <c r="L116" i="4"/>
  <c r="N115" i="4"/>
  <c r="M115" i="4"/>
  <c r="L115" i="4"/>
  <c r="N109" i="4"/>
  <c r="M109" i="4"/>
  <c r="L109" i="4"/>
  <c r="N108" i="4"/>
  <c r="M108" i="4"/>
  <c r="L108" i="4"/>
  <c r="N107" i="4"/>
  <c r="M107" i="4"/>
  <c r="L107" i="4"/>
  <c r="N106" i="4"/>
  <c r="M106" i="4"/>
  <c r="L106" i="4"/>
  <c r="N101" i="4"/>
  <c r="M101" i="4"/>
  <c r="L101" i="4"/>
  <c r="N100" i="4"/>
  <c r="M100" i="4"/>
  <c r="L100" i="4"/>
  <c r="N99" i="4"/>
  <c r="M99" i="4"/>
  <c r="L99" i="4"/>
  <c r="N98" i="4"/>
  <c r="M98" i="4"/>
  <c r="L98" i="4"/>
  <c r="N92" i="4"/>
  <c r="M92" i="4"/>
  <c r="L92" i="4"/>
  <c r="N91" i="4"/>
  <c r="M91" i="4"/>
  <c r="L91" i="4"/>
  <c r="N90" i="4"/>
  <c r="M90" i="4"/>
  <c r="L90" i="4"/>
  <c r="N89" i="4"/>
  <c r="M89" i="4"/>
  <c r="L89" i="4"/>
  <c r="S73" i="4"/>
  <c r="S61" i="4"/>
  <c r="S53" i="4"/>
  <c r="S44" i="4"/>
  <c r="S35" i="4"/>
  <c r="S27" i="4"/>
  <c r="S19" i="4"/>
  <c r="S10" i="4"/>
  <c r="C83" i="4"/>
  <c r="C82" i="4"/>
  <c r="C81" i="4"/>
  <c r="C80" i="4"/>
  <c r="C79" i="4"/>
  <c r="C78" i="4"/>
  <c r="C77" i="4"/>
  <c r="C76" i="4"/>
  <c r="C75" i="4"/>
  <c r="C74" i="4"/>
  <c r="B62" i="4"/>
  <c r="B63" i="4" s="1"/>
  <c r="B64" i="4" s="1"/>
  <c r="B65" i="4" s="1"/>
  <c r="B66" i="4" s="1"/>
  <c r="B67" i="4" s="1"/>
  <c r="B68" i="4" s="1"/>
  <c r="B69" i="4" s="1"/>
  <c r="B70" i="4" s="1"/>
  <c r="B71" i="4" s="1"/>
  <c r="C64" i="4"/>
  <c r="C65" i="4"/>
  <c r="C66" i="4"/>
  <c r="C67" i="4"/>
  <c r="C68" i="4"/>
  <c r="C69" i="4"/>
  <c r="C70" i="4"/>
  <c r="C71" i="4"/>
  <c r="C63" i="4"/>
  <c r="C62" i="4"/>
  <c r="C59" i="4"/>
  <c r="C58" i="4"/>
  <c r="C57" i="4"/>
  <c r="C56" i="4"/>
  <c r="C55" i="4"/>
  <c r="C54" i="4"/>
  <c r="C50" i="4"/>
  <c r="C49" i="4"/>
  <c r="C48" i="4"/>
  <c r="C47" i="4"/>
  <c r="C46" i="4"/>
  <c r="C45" i="4"/>
  <c r="C42" i="4"/>
  <c r="C41" i="4"/>
  <c r="C40" i="4"/>
  <c r="C39" i="4"/>
  <c r="C38" i="4"/>
  <c r="C37" i="4"/>
  <c r="C33" i="4"/>
  <c r="C32" i="4"/>
  <c r="C31" i="4"/>
  <c r="C30" i="4"/>
  <c r="C29" i="4"/>
  <c r="C28" i="4"/>
  <c r="B45" i="4"/>
  <c r="B54" i="4" s="1"/>
  <c r="B46" i="4" s="1"/>
  <c r="B55" i="4" s="1"/>
  <c r="B47" i="4" s="1"/>
  <c r="B56" i="4" s="1"/>
  <c r="B48" i="4" s="1"/>
  <c r="B57" i="4" s="1"/>
  <c r="B49" i="4" s="1"/>
  <c r="B58" i="4" s="1"/>
  <c r="B50" i="4" s="1"/>
  <c r="B28" i="4"/>
  <c r="B37" i="4" s="1"/>
  <c r="B29" i="4" s="1"/>
  <c r="B38" i="4" s="1"/>
  <c r="B30" i="4" s="1"/>
  <c r="B39" i="4" s="1"/>
  <c r="B31" i="4" s="1"/>
  <c r="B40" i="4" s="1"/>
  <c r="B32" i="4" s="1"/>
  <c r="B41" i="4" s="1"/>
  <c r="B33" i="4" s="1"/>
  <c r="B42" i="4" s="1"/>
  <c r="B11" i="4"/>
  <c r="B20" i="4" s="1"/>
  <c r="B12" i="4" s="1"/>
  <c r="B21" i="4" s="1"/>
  <c r="B13" i="4" s="1"/>
  <c r="B22" i="4" s="1"/>
  <c r="B14" i="4" s="1"/>
  <c r="B23" i="4" s="1"/>
  <c r="L62" i="4"/>
  <c r="D82" i="4"/>
  <c r="N78" i="4"/>
  <c r="M78" i="4"/>
  <c r="L78" i="4"/>
  <c r="F80" i="4"/>
  <c r="N77" i="4"/>
  <c r="M77" i="4"/>
  <c r="L77" i="4"/>
  <c r="D79" i="4"/>
  <c r="N76" i="4"/>
  <c r="M76" i="4"/>
  <c r="L76" i="4"/>
  <c r="E78" i="4"/>
  <c r="N75" i="4"/>
  <c r="M75" i="4"/>
  <c r="L75" i="4"/>
  <c r="D77" i="4"/>
  <c r="N74" i="4"/>
  <c r="M74" i="4"/>
  <c r="L74" i="4"/>
  <c r="D75" i="4"/>
  <c r="F74" i="4"/>
  <c r="E74" i="4"/>
  <c r="E71" i="4"/>
  <c r="F70" i="4"/>
  <c r="D70" i="4"/>
  <c r="F69" i="4"/>
  <c r="E69" i="4"/>
  <c r="N66" i="4"/>
  <c r="M66" i="4"/>
  <c r="L66" i="4"/>
  <c r="F68" i="4"/>
  <c r="E68" i="4"/>
  <c r="D68" i="4"/>
  <c r="N65" i="4"/>
  <c r="M65" i="4"/>
  <c r="L65" i="4"/>
  <c r="D67" i="4"/>
  <c r="N64" i="4"/>
  <c r="M64" i="4"/>
  <c r="L64" i="4"/>
  <c r="F66" i="4"/>
  <c r="E66" i="4"/>
  <c r="N63" i="4"/>
  <c r="M63" i="4"/>
  <c r="L63" i="4"/>
  <c r="F65" i="4"/>
  <c r="E65" i="4"/>
  <c r="D65" i="4"/>
  <c r="N62" i="4"/>
  <c r="M62" i="4"/>
  <c r="E63" i="4"/>
  <c r="D63" i="4"/>
  <c r="F62" i="4"/>
  <c r="F59" i="4"/>
  <c r="N57" i="4"/>
  <c r="M57" i="4"/>
  <c r="L57" i="4"/>
  <c r="D58" i="4"/>
  <c r="N56" i="4"/>
  <c r="M56" i="4"/>
  <c r="L56" i="4"/>
  <c r="F57" i="4"/>
  <c r="D57" i="4"/>
  <c r="N55" i="4"/>
  <c r="M55" i="4"/>
  <c r="L55" i="4"/>
  <c r="E56" i="4"/>
  <c r="D56" i="4"/>
  <c r="N54" i="4"/>
  <c r="M54" i="4"/>
  <c r="L54" i="4"/>
  <c r="F55" i="4"/>
  <c r="F54" i="4"/>
  <c r="F50" i="4"/>
  <c r="E50" i="4"/>
  <c r="D50" i="4"/>
  <c r="N48" i="4"/>
  <c r="M48" i="4"/>
  <c r="L48" i="4"/>
  <c r="F49" i="4"/>
  <c r="E49" i="4"/>
  <c r="D49" i="4"/>
  <c r="N47" i="4"/>
  <c r="M47" i="4"/>
  <c r="L47" i="4"/>
  <c r="F48" i="4"/>
  <c r="E48" i="4"/>
  <c r="D48" i="4"/>
  <c r="N46" i="4"/>
  <c r="M46" i="4"/>
  <c r="L46" i="4"/>
  <c r="F47" i="4"/>
  <c r="E47" i="4"/>
  <c r="D47" i="4"/>
  <c r="N45" i="4"/>
  <c r="M45" i="4"/>
  <c r="L45" i="4"/>
  <c r="F46" i="4"/>
  <c r="E46" i="4"/>
  <c r="D46" i="4"/>
  <c r="F45" i="4"/>
  <c r="E45" i="4"/>
  <c r="D45" i="4"/>
  <c r="F42" i="4"/>
  <c r="E42" i="4"/>
  <c r="D42" i="4"/>
  <c r="E41" i="4"/>
  <c r="N39" i="4"/>
  <c r="M39" i="4"/>
  <c r="L39" i="4"/>
  <c r="E40" i="4"/>
  <c r="D40" i="4"/>
  <c r="N38" i="4"/>
  <c r="M38" i="4"/>
  <c r="L38" i="4"/>
  <c r="N37" i="4"/>
  <c r="M37" i="4"/>
  <c r="L37" i="4"/>
  <c r="E38" i="4"/>
  <c r="D38" i="4"/>
  <c r="N36" i="4"/>
  <c r="M36" i="4"/>
  <c r="L36" i="4"/>
  <c r="F37" i="4"/>
  <c r="E37" i="4"/>
  <c r="F33" i="4"/>
  <c r="E33" i="4"/>
  <c r="N31" i="4"/>
  <c r="M31" i="4"/>
  <c r="L31" i="4"/>
  <c r="F32" i="4"/>
  <c r="E32" i="4"/>
  <c r="N30" i="4"/>
  <c r="M30" i="4"/>
  <c r="L30" i="4"/>
  <c r="E31" i="4"/>
  <c r="D31" i="4"/>
  <c r="N29" i="4"/>
  <c r="M29" i="4"/>
  <c r="L29" i="4"/>
  <c r="E30" i="4"/>
  <c r="N28" i="4"/>
  <c r="M28" i="4"/>
  <c r="L28" i="4"/>
  <c r="E29" i="4"/>
  <c r="D29" i="4"/>
  <c r="F28" i="4"/>
  <c r="E25" i="4"/>
  <c r="N23" i="4"/>
  <c r="M23" i="4"/>
  <c r="L23" i="4"/>
  <c r="E24" i="4"/>
  <c r="N22" i="4"/>
  <c r="M22" i="4"/>
  <c r="L22" i="4"/>
  <c r="F23" i="4"/>
  <c r="E23" i="4"/>
  <c r="D23" i="4"/>
  <c r="N21" i="4"/>
  <c r="M21" i="4"/>
  <c r="L21" i="4"/>
  <c r="E22" i="4"/>
  <c r="N20" i="4"/>
  <c r="M20" i="4"/>
  <c r="L20" i="4"/>
  <c r="E21" i="4"/>
  <c r="D21" i="4"/>
  <c r="F20" i="4"/>
  <c r="F16" i="4"/>
  <c r="E16" i="4"/>
  <c r="N14" i="4"/>
  <c r="M14" i="4"/>
  <c r="L14" i="4"/>
  <c r="F15" i="4"/>
  <c r="E15" i="4"/>
  <c r="D15" i="4"/>
  <c r="N13" i="4"/>
  <c r="M13" i="4"/>
  <c r="L13" i="4"/>
  <c r="F14" i="4"/>
  <c r="E14" i="4"/>
  <c r="D14" i="4"/>
  <c r="N12" i="4"/>
  <c r="M12" i="4"/>
  <c r="L12" i="4"/>
  <c r="E13" i="4"/>
  <c r="D13" i="4"/>
  <c r="N11" i="4"/>
  <c r="M11" i="4"/>
  <c r="L11" i="4"/>
  <c r="F12" i="4"/>
  <c r="E12" i="4"/>
  <c r="D12" i="4"/>
  <c r="F11" i="4"/>
  <c r="B149" i="2"/>
  <c r="B143" i="2"/>
  <c r="B140" i="2"/>
  <c r="B152" i="2"/>
  <c r="B146" i="2"/>
  <c r="B134" i="2"/>
  <c r="B128" i="2"/>
  <c r="B127" i="2"/>
  <c r="B126" i="2"/>
  <c r="B123" i="2"/>
  <c r="B122" i="2"/>
  <c r="B121" i="2"/>
  <c r="B137" i="2"/>
  <c r="B118" i="2"/>
  <c r="B117" i="2"/>
  <c r="B116" i="2"/>
  <c r="B113" i="2"/>
  <c r="B112" i="2"/>
  <c r="B111" i="2"/>
  <c r="A121" i="2"/>
  <c r="A111" i="2"/>
  <c r="D152" i="2"/>
  <c r="C152" i="2"/>
  <c r="E149" i="2"/>
  <c r="D149" i="2"/>
  <c r="C149" i="2"/>
  <c r="E146" i="2"/>
  <c r="D146" i="2"/>
  <c r="C146" i="2"/>
  <c r="E143" i="2"/>
  <c r="E137" i="2"/>
  <c r="M128" i="2"/>
  <c r="L128" i="2"/>
  <c r="K128" i="2"/>
  <c r="M127" i="2"/>
  <c r="L127" i="2"/>
  <c r="K127" i="2"/>
  <c r="M126" i="2"/>
  <c r="L126" i="2"/>
  <c r="N126" i="2" s="1"/>
  <c r="O126" i="2" s="1"/>
  <c r="K126" i="2"/>
  <c r="M123" i="2"/>
  <c r="L123" i="2"/>
  <c r="K123" i="2"/>
  <c r="M122" i="2"/>
  <c r="L122" i="2"/>
  <c r="K122" i="2"/>
  <c r="M121" i="2"/>
  <c r="L121" i="2"/>
  <c r="N121" i="2" s="1"/>
  <c r="O121" i="2" s="1"/>
  <c r="K121" i="2"/>
  <c r="A126" i="2"/>
  <c r="A122" i="2" s="1"/>
  <c r="A127" i="2" s="1"/>
  <c r="A123" i="2" s="1"/>
  <c r="A128" i="2" s="1"/>
  <c r="M118" i="2"/>
  <c r="L118" i="2"/>
  <c r="K118" i="2"/>
  <c r="M117" i="2"/>
  <c r="L117" i="2"/>
  <c r="K117" i="2"/>
  <c r="M116" i="2"/>
  <c r="L116" i="2"/>
  <c r="K116" i="2"/>
  <c r="M113" i="2"/>
  <c r="L113" i="2"/>
  <c r="K113" i="2"/>
  <c r="M112" i="2"/>
  <c r="L112" i="2"/>
  <c r="K112" i="2"/>
  <c r="M111" i="2"/>
  <c r="L111" i="2"/>
  <c r="N111" i="2" s="1"/>
  <c r="O111" i="2" s="1"/>
  <c r="K111" i="2"/>
  <c r="A116" i="2"/>
  <c r="A112" i="2" s="1"/>
  <c r="A117" i="2" s="1"/>
  <c r="A113" i="2" s="1"/>
  <c r="A118" i="2" s="1"/>
  <c r="A73" i="2"/>
  <c r="A78" i="2" s="1"/>
  <c r="A74" i="2" s="1"/>
  <c r="A79" i="2" s="1"/>
  <c r="A75" i="2" s="1"/>
  <c r="A63" i="2"/>
  <c r="A68" i="2" s="1"/>
  <c r="A64" i="2" s="1"/>
  <c r="A69" i="2" s="1"/>
  <c r="A65" i="2" s="1"/>
  <c r="A70" i="2" s="1"/>
  <c r="R51" i="2"/>
  <c r="R43" i="2"/>
  <c r="R34" i="2"/>
  <c r="R26" i="2"/>
  <c r="R18" i="2"/>
  <c r="R9" i="2"/>
  <c r="D104" i="2"/>
  <c r="C104" i="2"/>
  <c r="E101" i="2"/>
  <c r="D101" i="2"/>
  <c r="C101" i="2"/>
  <c r="E98" i="2"/>
  <c r="D98" i="2"/>
  <c r="C98" i="2"/>
  <c r="E95" i="2"/>
  <c r="E89" i="2"/>
  <c r="M80" i="2"/>
  <c r="L80" i="2"/>
  <c r="K80" i="2"/>
  <c r="M79" i="2"/>
  <c r="L79" i="2"/>
  <c r="K79" i="2"/>
  <c r="M78" i="2"/>
  <c r="L78" i="2"/>
  <c r="K78" i="2"/>
  <c r="M75" i="2"/>
  <c r="L75" i="2"/>
  <c r="K75" i="2"/>
  <c r="M74" i="2"/>
  <c r="L74" i="2"/>
  <c r="K74" i="2"/>
  <c r="M73" i="2"/>
  <c r="L73" i="2"/>
  <c r="K73" i="2"/>
  <c r="M70" i="2"/>
  <c r="L70" i="2"/>
  <c r="K70" i="2"/>
  <c r="M69" i="2"/>
  <c r="L69" i="2"/>
  <c r="K69" i="2"/>
  <c r="R69" i="2" s="1"/>
  <c r="M68" i="2"/>
  <c r="L68" i="2"/>
  <c r="K68" i="2"/>
  <c r="M65" i="2"/>
  <c r="L65" i="2"/>
  <c r="K65" i="2"/>
  <c r="M64" i="2"/>
  <c r="L64" i="2"/>
  <c r="K64" i="2"/>
  <c r="M63" i="2"/>
  <c r="L63" i="2"/>
  <c r="K63" i="2"/>
  <c r="B57" i="2"/>
  <c r="B56" i="2"/>
  <c r="B55" i="2"/>
  <c r="B54" i="2"/>
  <c r="B53" i="2"/>
  <c r="B52" i="2"/>
  <c r="B49" i="2"/>
  <c r="B48" i="2"/>
  <c r="B47" i="2"/>
  <c r="B46" i="2"/>
  <c r="B45" i="2"/>
  <c r="B44" i="2"/>
  <c r="A44" i="2"/>
  <c r="A52" i="2"/>
  <c r="A45" i="2" s="1"/>
  <c r="A53" i="2" s="1"/>
  <c r="A46" i="2" s="1"/>
  <c r="A54" i="2" s="1"/>
  <c r="A47" i="2" s="1"/>
  <c r="A55" i="2" s="1"/>
  <c r="A27" i="2"/>
  <c r="A35" i="2" s="1"/>
  <c r="A28" i="2" s="1"/>
  <c r="B24" i="2"/>
  <c r="B23" i="2"/>
  <c r="B22" i="2"/>
  <c r="B21" i="2"/>
  <c r="B20" i="2"/>
  <c r="B19" i="2"/>
  <c r="B10" i="2"/>
  <c r="E57" i="2"/>
  <c r="D57" i="2"/>
  <c r="C57" i="2"/>
  <c r="E56" i="2"/>
  <c r="D56" i="2"/>
  <c r="C56" i="2"/>
  <c r="M55" i="2"/>
  <c r="L55" i="2"/>
  <c r="K55" i="2"/>
  <c r="E55" i="2"/>
  <c r="D55" i="2"/>
  <c r="C55" i="2"/>
  <c r="M54" i="2"/>
  <c r="L54" i="2"/>
  <c r="K54" i="2"/>
  <c r="E54" i="2"/>
  <c r="D54" i="2"/>
  <c r="C54" i="2"/>
  <c r="M53" i="2"/>
  <c r="L53" i="2"/>
  <c r="K53" i="2"/>
  <c r="E53" i="2"/>
  <c r="D53" i="2"/>
  <c r="C53" i="2"/>
  <c r="M52" i="2"/>
  <c r="L52" i="2"/>
  <c r="K52" i="2"/>
  <c r="E52" i="2"/>
  <c r="D52" i="2"/>
  <c r="C52" i="2"/>
  <c r="E49" i="2"/>
  <c r="D49" i="2"/>
  <c r="C49" i="2"/>
  <c r="E48" i="2"/>
  <c r="D48" i="2"/>
  <c r="C48" i="2"/>
  <c r="M47" i="2"/>
  <c r="L47" i="2"/>
  <c r="K47" i="2"/>
  <c r="E47" i="2"/>
  <c r="D47" i="2"/>
  <c r="C47" i="2"/>
  <c r="M46" i="2"/>
  <c r="L46" i="2"/>
  <c r="K46" i="2"/>
  <c r="E46" i="2"/>
  <c r="D46" i="2"/>
  <c r="C46" i="2"/>
  <c r="M45" i="2"/>
  <c r="L45" i="2"/>
  <c r="K45" i="2"/>
  <c r="E45" i="2"/>
  <c r="D45" i="2"/>
  <c r="C45" i="2"/>
  <c r="M44" i="2"/>
  <c r="L44" i="2"/>
  <c r="K44" i="2"/>
  <c r="E44" i="2"/>
  <c r="D44" i="2"/>
  <c r="C44" i="2"/>
  <c r="E40" i="2"/>
  <c r="D40" i="2"/>
  <c r="E39" i="2"/>
  <c r="D39" i="2"/>
  <c r="C39" i="2"/>
  <c r="M38" i="2"/>
  <c r="L38" i="2"/>
  <c r="K38" i="2"/>
  <c r="E38" i="2"/>
  <c r="C38" i="2"/>
  <c r="M37" i="2"/>
  <c r="L37" i="2"/>
  <c r="K37" i="2"/>
  <c r="E37" i="2"/>
  <c r="D37" i="2"/>
  <c r="C37" i="2"/>
  <c r="M36" i="2"/>
  <c r="L36" i="2"/>
  <c r="K36" i="2"/>
  <c r="E36" i="2"/>
  <c r="D36" i="2"/>
  <c r="C36" i="2"/>
  <c r="M35" i="2"/>
  <c r="L35" i="2"/>
  <c r="K35" i="2"/>
  <c r="E35" i="2"/>
  <c r="C35" i="2"/>
  <c r="D32" i="2"/>
  <c r="E31" i="2"/>
  <c r="D31" i="2"/>
  <c r="C31" i="2"/>
  <c r="M30" i="2"/>
  <c r="L30" i="2"/>
  <c r="K30" i="2"/>
  <c r="E30" i="2"/>
  <c r="C30" i="2"/>
  <c r="M29" i="2"/>
  <c r="L29" i="2"/>
  <c r="E29" i="2"/>
  <c r="D29" i="2"/>
  <c r="C29" i="2"/>
  <c r="M28" i="2"/>
  <c r="L28" i="2"/>
  <c r="K28" i="2"/>
  <c r="E28" i="2"/>
  <c r="D28" i="2"/>
  <c r="C28" i="2"/>
  <c r="M27" i="2"/>
  <c r="L27" i="2"/>
  <c r="K27" i="2"/>
  <c r="E27" i="2"/>
  <c r="C27" i="2"/>
  <c r="E24" i="2"/>
  <c r="D24" i="2"/>
  <c r="C24" i="2"/>
  <c r="D23" i="2"/>
  <c r="M22" i="2"/>
  <c r="L22" i="2"/>
  <c r="K22" i="2"/>
  <c r="E22" i="2"/>
  <c r="D22" i="2"/>
  <c r="C22" i="2"/>
  <c r="M21" i="2"/>
  <c r="L21" i="2"/>
  <c r="K21" i="2"/>
  <c r="D21" i="2"/>
  <c r="M20" i="2"/>
  <c r="L20" i="2"/>
  <c r="K20" i="2"/>
  <c r="D20" i="2"/>
  <c r="C20" i="2"/>
  <c r="M19" i="2"/>
  <c r="L19" i="2"/>
  <c r="K19" i="2"/>
  <c r="E19" i="2"/>
  <c r="D19" i="2"/>
  <c r="E15" i="2"/>
  <c r="D15" i="2"/>
  <c r="C15" i="2"/>
  <c r="B15" i="2"/>
  <c r="E14" i="2"/>
  <c r="D14" i="2"/>
  <c r="C14" i="2"/>
  <c r="B14" i="2"/>
  <c r="M13" i="2"/>
  <c r="L13" i="2"/>
  <c r="K13" i="2"/>
  <c r="C13" i="2"/>
  <c r="B13" i="2"/>
  <c r="M12" i="2"/>
  <c r="L12" i="2"/>
  <c r="K12" i="2"/>
  <c r="D12" i="2"/>
  <c r="C12" i="2"/>
  <c r="B12" i="2"/>
  <c r="M11" i="2"/>
  <c r="L11" i="2"/>
  <c r="K11" i="2"/>
  <c r="D11" i="2"/>
  <c r="C11" i="2"/>
  <c r="B11" i="2"/>
  <c r="M10" i="2"/>
  <c r="L10" i="2"/>
  <c r="K10" i="2"/>
  <c r="E10" i="2"/>
  <c r="C10" i="2"/>
  <c r="A10" i="2"/>
  <c r="F82" i="4" l="1"/>
  <c r="F63" i="4"/>
  <c r="F40" i="4"/>
  <c r="D55" i="4"/>
  <c r="F56" i="4"/>
  <c r="E59" i="4"/>
  <c r="E64" i="4"/>
  <c r="E75" i="4"/>
  <c r="E77" i="4"/>
  <c r="E83" i="4"/>
  <c r="D28" i="4"/>
  <c r="F64" i="4"/>
  <c r="F67" i="4"/>
  <c r="D71" i="4"/>
  <c r="F75" i="4"/>
  <c r="F77" i="4"/>
  <c r="E57" i="4"/>
  <c r="D66" i="4"/>
  <c r="E76" i="4"/>
  <c r="F25" i="4"/>
  <c r="D64" i="4"/>
  <c r="E54" i="4"/>
  <c r="E80" i="4"/>
  <c r="D59" i="4"/>
  <c r="D83" i="4"/>
  <c r="E62" i="4"/>
  <c r="D69" i="4"/>
  <c r="F71" i="4"/>
  <c r="F76" i="4"/>
  <c r="D74" i="4"/>
  <c r="N28" i="2"/>
  <c r="O28" i="2" s="1"/>
  <c r="R70" i="2"/>
  <c r="N127" i="2"/>
  <c r="O127" i="2" s="1"/>
  <c r="I127" i="2" s="1"/>
  <c r="N128" i="2"/>
  <c r="O128" i="2" s="1"/>
  <c r="N122" i="2"/>
  <c r="O122" i="2" s="1"/>
  <c r="I122" i="2" s="1"/>
  <c r="N112" i="2"/>
  <c r="O112" i="2" s="1"/>
  <c r="I112" i="2" s="1"/>
  <c r="R112" i="2" s="1"/>
  <c r="R111" i="2"/>
  <c r="C134" i="2" s="1"/>
  <c r="I111" i="2"/>
  <c r="R113" i="2" s="1"/>
  <c r="N113" i="2"/>
  <c r="O113" i="2" s="1"/>
  <c r="N73" i="2"/>
  <c r="O73" i="2" s="1"/>
  <c r="I75" i="2" s="1"/>
  <c r="N63" i="2"/>
  <c r="O63" i="2" s="1"/>
  <c r="N30" i="2"/>
  <c r="O30" i="2" s="1"/>
  <c r="N20" i="2"/>
  <c r="O20" i="2" s="1"/>
  <c r="D35" i="2"/>
  <c r="D38" i="2"/>
  <c r="D27" i="2"/>
  <c r="D30" i="2"/>
  <c r="C19" i="2"/>
  <c r="E20" i="2"/>
  <c r="C21" i="2"/>
  <c r="E21" i="2"/>
  <c r="D10" i="2"/>
  <c r="E12" i="2"/>
  <c r="E11" i="2"/>
  <c r="D76" i="4"/>
  <c r="D78" i="4"/>
  <c r="F78" i="4"/>
  <c r="F79" i="4"/>
  <c r="D80" i="4"/>
  <c r="D81" i="4"/>
  <c r="D37" i="4"/>
  <c r="F38" i="4"/>
  <c r="D39" i="4"/>
  <c r="F39" i="4"/>
  <c r="E28" i="4"/>
  <c r="F29" i="4"/>
  <c r="D30" i="4"/>
  <c r="F30" i="4"/>
  <c r="F31" i="4"/>
  <c r="E20" i="4"/>
  <c r="F21" i="4"/>
  <c r="D22" i="4"/>
  <c r="F22" i="4"/>
  <c r="D24" i="4"/>
  <c r="F24" i="4"/>
  <c r="E11" i="4"/>
  <c r="F13" i="4"/>
  <c r="O98" i="4"/>
  <c r="P98" i="4" s="1"/>
  <c r="O99" i="4"/>
  <c r="P99" i="4" s="1"/>
  <c r="O100" i="4"/>
  <c r="P100" i="4" s="1"/>
  <c r="O157" i="4"/>
  <c r="P157" i="4" s="1"/>
  <c r="O171" i="4"/>
  <c r="P171" i="4" s="1"/>
  <c r="O173" i="4"/>
  <c r="P173" i="4" s="1"/>
  <c r="O176" i="4"/>
  <c r="P176" i="4" s="1"/>
  <c r="O178" i="4"/>
  <c r="P178" i="4" s="1"/>
  <c r="B172" i="4"/>
  <c r="B177" i="4" s="1"/>
  <c r="B173" i="4" s="1"/>
  <c r="B178" i="4" s="1"/>
  <c r="B132" i="4"/>
  <c r="O64" i="4"/>
  <c r="P64" i="4" s="1"/>
  <c r="O66" i="4"/>
  <c r="P66" i="4" s="1"/>
  <c r="O101" i="4"/>
  <c r="P101" i="4" s="1"/>
  <c r="B141" i="4"/>
  <c r="B135" i="4"/>
  <c r="B59" i="4"/>
  <c r="O115" i="4"/>
  <c r="P115" i="4" s="1"/>
  <c r="O117" i="4"/>
  <c r="P117" i="4" s="1"/>
  <c r="O158" i="4"/>
  <c r="P158" i="4" s="1"/>
  <c r="O172" i="4"/>
  <c r="P172" i="4" s="1"/>
  <c r="O177" i="4"/>
  <c r="P177" i="4" s="1"/>
  <c r="O151" i="4"/>
  <c r="P151" i="4" s="1"/>
  <c r="O152" i="4"/>
  <c r="P152" i="4" s="1"/>
  <c r="O153" i="4"/>
  <c r="P153" i="4" s="1"/>
  <c r="O156" i="4"/>
  <c r="P156" i="4" s="1"/>
  <c r="O161" i="4"/>
  <c r="P161" i="4" s="1"/>
  <c r="O162" i="4"/>
  <c r="P162" i="4" s="1"/>
  <c r="O163" i="4"/>
  <c r="P163" i="4" s="1"/>
  <c r="O166" i="4"/>
  <c r="P166" i="4" s="1"/>
  <c r="O167" i="4"/>
  <c r="P167" i="4" s="1"/>
  <c r="O168" i="4"/>
  <c r="P168" i="4" s="1"/>
  <c r="O74" i="4"/>
  <c r="P74" i="4" s="1"/>
  <c r="O76" i="4"/>
  <c r="P76" i="4" s="1"/>
  <c r="O78" i="4"/>
  <c r="P78" i="4" s="1"/>
  <c r="O89" i="4"/>
  <c r="P89" i="4" s="1"/>
  <c r="O90" i="4"/>
  <c r="P90" i="4" s="1"/>
  <c r="O91" i="4"/>
  <c r="P91" i="4" s="1"/>
  <c r="O92" i="4"/>
  <c r="P92" i="4" s="1"/>
  <c r="O106" i="4"/>
  <c r="P106" i="4" s="1"/>
  <c r="O107" i="4"/>
  <c r="P107" i="4" s="1"/>
  <c r="O108" i="4"/>
  <c r="P108" i="4" s="1"/>
  <c r="O109" i="4"/>
  <c r="P109" i="4" s="1"/>
  <c r="O116" i="4"/>
  <c r="P116" i="4" s="1"/>
  <c r="O118" i="4"/>
  <c r="P118" i="4" s="1"/>
  <c r="N19" i="2"/>
  <c r="O19" i="2" s="1"/>
  <c r="N21" i="2"/>
  <c r="O21" i="2" s="1"/>
  <c r="N27" i="2"/>
  <c r="O27" i="2" s="1"/>
  <c r="N29" i="2"/>
  <c r="O29" i="2" s="1"/>
  <c r="N53" i="2"/>
  <c r="O53" i="2" s="1"/>
  <c r="N55" i="2"/>
  <c r="O55" i="2" s="1"/>
  <c r="A19" i="2"/>
  <c r="A11" i="2" s="1"/>
  <c r="A20" i="2" s="1"/>
  <c r="A12" i="2" s="1"/>
  <c r="A21" i="2" s="1"/>
  <c r="A13" i="2" s="1"/>
  <c r="A22" i="2" s="1"/>
  <c r="A14" i="2" s="1"/>
  <c r="A23" i="2" s="1"/>
  <c r="A15" i="2" s="1"/>
  <c r="A24" i="2" s="1"/>
  <c r="N116" i="2"/>
  <c r="O116" i="2" s="1"/>
  <c r="N117" i="2"/>
  <c r="O117" i="2" s="1"/>
  <c r="N118" i="2"/>
  <c r="O118" i="2" s="1"/>
  <c r="N123" i="2"/>
  <c r="O123" i="2" s="1"/>
  <c r="B15" i="4"/>
  <c r="B24" i="4" s="1"/>
  <c r="B16" i="4" s="1"/>
  <c r="B25" i="4" s="1"/>
  <c r="O62" i="4"/>
  <c r="P62" i="4" s="1"/>
  <c r="O63" i="4"/>
  <c r="P63" i="4" s="1"/>
  <c r="O65" i="4"/>
  <c r="P65" i="4" s="1"/>
  <c r="O75" i="4"/>
  <c r="P75" i="4" s="1"/>
  <c r="O77" i="4"/>
  <c r="P77" i="4" s="1"/>
  <c r="O46" i="4"/>
  <c r="P46" i="4" s="1"/>
  <c r="O11" i="4"/>
  <c r="P11" i="4" s="1"/>
  <c r="O13" i="4"/>
  <c r="P13" i="4" s="1"/>
  <c r="O23" i="4"/>
  <c r="P23" i="4" s="1"/>
  <c r="O28" i="4"/>
  <c r="P28" i="4" s="1"/>
  <c r="O29" i="4"/>
  <c r="P29" i="4" s="1"/>
  <c r="O30" i="4"/>
  <c r="P30" i="4" s="1"/>
  <c r="O31" i="4"/>
  <c r="P31" i="4" s="1"/>
  <c r="O36" i="4"/>
  <c r="P36" i="4" s="1"/>
  <c r="O45" i="4"/>
  <c r="P45" i="4" s="1"/>
  <c r="O47" i="4"/>
  <c r="P47" i="4" s="1"/>
  <c r="O55" i="4"/>
  <c r="P55" i="4" s="1"/>
  <c r="O57" i="4"/>
  <c r="P57" i="4" s="1"/>
  <c r="O12" i="4"/>
  <c r="P12" i="4" s="1"/>
  <c r="O14" i="4"/>
  <c r="P14" i="4" s="1"/>
  <c r="O20" i="4"/>
  <c r="P20" i="4" s="1"/>
  <c r="O21" i="4"/>
  <c r="P21" i="4" s="1"/>
  <c r="O22" i="4"/>
  <c r="P22" i="4" s="1"/>
  <c r="O37" i="4"/>
  <c r="P37" i="4" s="1"/>
  <c r="O48" i="4"/>
  <c r="P48" i="4" s="1"/>
  <c r="O54" i="4"/>
  <c r="P54" i="4" s="1"/>
  <c r="O56" i="4"/>
  <c r="P56" i="4" s="1"/>
  <c r="O38" i="4"/>
  <c r="P38" i="4" s="1"/>
  <c r="O39" i="4"/>
  <c r="P39" i="4" s="1"/>
  <c r="I113" i="2"/>
  <c r="I117" i="2"/>
  <c r="A140" i="2"/>
  <c r="A134" i="2"/>
  <c r="N64" i="2"/>
  <c r="O64" i="2" s="1"/>
  <c r="N65" i="2"/>
  <c r="O65" i="2" s="1"/>
  <c r="N68" i="2"/>
  <c r="O68" i="2" s="1"/>
  <c r="N69" i="2"/>
  <c r="O69" i="2" s="1"/>
  <c r="N70" i="2"/>
  <c r="O70" i="2" s="1"/>
  <c r="N74" i="2"/>
  <c r="O74" i="2" s="1"/>
  <c r="N75" i="2"/>
  <c r="O75" i="2" s="1"/>
  <c r="N78" i="2"/>
  <c r="O78" i="2" s="1"/>
  <c r="N79" i="2"/>
  <c r="O79" i="2" s="1"/>
  <c r="N80" i="2"/>
  <c r="O80" i="2" s="1"/>
  <c r="A48" i="2"/>
  <c r="A56" i="2" s="1"/>
  <c r="A49" i="2" s="1"/>
  <c r="A57" i="2" s="1"/>
  <c r="N10" i="2"/>
  <c r="O10" i="2" s="1"/>
  <c r="N11" i="2"/>
  <c r="O11" i="2" s="1"/>
  <c r="N12" i="2"/>
  <c r="O12" i="2" s="1"/>
  <c r="N13" i="2"/>
  <c r="O13" i="2" s="1"/>
  <c r="N22" i="2"/>
  <c r="O22" i="2" s="1"/>
  <c r="N35" i="2"/>
  <c r="O35" i="2" s="1"/>
  <c r="N36" i="2"/>
  <c r="O36" i="2" s="1"/>
  <c r="N38" i="2"/>
  <c r="O38" i="2" s="1"/>
  <c r="N44" i="2"/>
  <c r="O44" i="2" s="1"/>
  <c r="N46" i="2"/>
  <c r="O46" i="2" s="1"/>
  <c r="N37" i="2"/>
  <c r="O37" i="2" s="1"/>
  <c r="N45" i="2"/>
  <c r="O45" i="2" s="1"/>
  <c r="N47" i="2"/>
  <c r="O47" i="2" s="1"/>
  <c r="N52" i="2"/>
  <c r="O52" i="2" s="1"/>
  <c r="N54" i="2"/>
  <c r="O54" i="2" s="1"/>
  <c r="I20" i="2" l="1"/>
  <c r="J14" i="4"/>
  <c r="J45" i="4"/>
  <c r="I19" i="2"/>
  <c r="I80" i="2"/>
  <c r="I128" i="2"/>
  <c r="I126" i="2"/>
  <c r="I121" i="2"/>
  <c r="I123" i="2"/>
  <c r="I118" i="2"/>
  <c r="E140" i="2"/>
  <c r="D143" i="2"/>
  <c r="I79" i="2"/>
  <c r="I73" i="2"/>
  <c r="I64" i="2"/>
  <c r="I65" i="2"/>
  <c r="I63" i="2"/>
  <c r="I70" i="2"/>
  <c r="I69" i="2"/>
  <c r="I54" i="2"/>
  <c r="I37" i="2"/>
  <c r="I30" i="2"/>
  <c r="I27" i="2"/>
  <c r="I28" i="2"/>
  <c r="I29" i="2"/>
  <c r="R21" i="2"/>
  <c r="I13" i="2"/>
  <c r="I11" i="2"/>
  <c r="J173" i="4"/>
  <c r="J101" i="4"/>
  <c r="J157" i="4"/>
  <c r="J117" i="4"/>
  <c r="J162" i="4"/>
  <c r="J99" i="4"/>
  <c r="J118" i="4"/>
  <c r="J116" i="4"/>
  <c r="J107" i="4"/>
  <c r="B138" i="4"/>
  <c r="B144" i="4" s="1"/>
  <c r="J168" i="4"/>
  <c r="J167" i="4"/>
  <c r="J163" i="4"/>
  <c r="J156" i="4"/>
  <c r="J153" i="4"/>
  <c r="J178" i="4"/>
  <c r="J172" i="4"/>
  <c r="J100" i="4"/>
  <c r="J177" i="4"/>
  <c r="J171" i="4"/>
  <c r="J98" i="4"/>
  <c r="J158" i="4"/>
  <c r="J176" i="4"/>
  <c r="J166" i="4"/>
  <c r="J152" i="4"/>
  <c r="J161" i="4"/>
  <c r="J151" i="4"/>
  <c r="J89" i="4"/>
  <c r="J115" i="4"/>
  <c r="J109" i="4"/>
  <c r="J91" i="4"/>
  <c r="J108" i="4"/>
  <c r="J92" i="4"/>
  <c r="J90" i="4"/>
  <c r="J78" i="4"/>
  <c r="J20" i="4"/>
  <c r="J47" i="4"/>
  <c r="J30" i="4"/>
  <c r="J77" i="4"/>
  <c r="J106" i="4"/>
  <c r="J75" i="4"/>
  <c r="J74" i="4"/>
  <c r="J76" i="4"/>
  <c r="I22" i="2"/>
  <c r="I21" i="2"/>
  <c r="R19" i="2" s="1"/>
  <c r="I74" i="2"/>
  <c r="I116" i="2"/>
  <c r="J63" i="4"/>
  <c r="J65" i="4"/>
  <c r="J62" i="4"/>
  <c r="J64" i="4"/>
  <c r="J66" i="4"/>
  <c r="J54" i="4"/>
  <c r="J57" i="4"/>
  <c r="J21" i="4"/>
  <c r="J29" i="4"/>
  <c r="J11" i="4"/>
  <c r="J22" i="4"/>
  <c r="J12" i="4"/>
  <c r="J31" i="4"/>
  <c r="J28" i="4"/>
  <c r="J55" i="4"/>
  <c r="J23" i="4"/>
  <c r="J39" i="4"/>
  <c r="J56" i="4"/>
  <c r="J48" i="4"/>
  <c r="J46" i="4"/>
  <c r="J13" i="4"/>
  <c r="J38" i="4"/>
  <c r="J37" i="4"/>
  <c r="J36" i="4"/>
  <c r="A143" i="2"/>
  <c r="A137" i="2"/>
  <c r="I78" i="2"/>
  <c r="I68" i="2"/>
  <c r="R68" i="2" s="1"/>
  <c r="C92" i="2" s="1"/>
  <c r="D89" i="2"/>
  <c r="E86" i="2"/>
  <c r="I53" i="2"/>
  <c r="I10" i="2"/>
  <c r="I47" i="2"/>
  <c r="I12" i="2"/>
  <c r="I45" i="2"/>
  <c r="I46" i="2"/>
  <c r="I38" i="2"/>
  <c r="I35" i="2"/>
  <c r="I52" i="2"/>
  <c r="I44" i="2"/>
  <c r="I36" i="2"/>
  <c r="I55" i="2"/>
  <c r="R22" i="2" l="1"/>
  <c r="S178" i="4"/>
  <c r="S177" i="4"/>
  <c r="D184" i="4" s="1"/>
  <c r="S176" i="4"/>
  <c r="D193" i="4" s="1"/>
  <c r="S173" i="4"/>
  <c r="S172" i="4"/>
  <c r="E190" i="4" s="1"/>
  <c r="S171" i="4"/>
  <c r="D187" i="4" s="1"/>
  <c r="S168" i="4"/>
  <c r="S167" i="4"/>
  <c r="D190" i="4" s="1"/>
  <c r="S166" i="4"/>
  <c r="S163" i="4"/>
  <c r="S161" i="4"/>
  <c r="S162" i="4"/>
  <c r="E184" i="4" s="1"/>
  <c r="S157" i="4"/>
  <c r="E187" i="4" s="1"/>
  <c r="S158" i="4"/>
  <c r="S156" i="4"/>
  <c r="S153" i="4"/>
  <c r="S151" i="4"/>
  <c r="S152" i="4"/>
  <c r="S116" i="4"/>
  <c r="E132" i="4" s="1"/>
  <c r="S115" i="4"/>
  <c r="S118" i="4"/>
  <c r="S117" i="4"/>
  <c r="S107" i="4"/>
  <c r="E126" i="4" s="1"/>
  <c r="S106" i="4"/>
  <c r="D135" i="4" s="1"/>
  <c r="S109" i="4"/>
  <c r="S108" i="4"/>
  <c r="S98" i="4"/>
  <c r="D132" i="4" s="1"/>
  <c r="S100" i="4"/>
  <c r="S101" i="4"/>
  <c r="S99" i="4"/>
  <c r="S92" i="4"/>
  <c r="S91" i="4"/>
  <c r="S89" i="4"/>
  <c r="D126" i="4" s="1"/>
  <c r="S90" i="4"/>
  <c r="S74" i="4"/>
  <c r="S75" i="4"/>
  <c r="S76" i="4"/>
  <c r="S78" i="4"/>
  <c r="S77" i="4"/>
  <c r="S64" i="4"/>
  <c r="S65" i="4"/>
  <c r="S62" i="4"/>
  <c r="S66" i="4"/>
  <c r="S63" i="4"/>
  <c r="S54" i="4"/>
  <c r="S56" i="4"/>
  <c r="S57" i="4"/>
  <c r="S55" i="4"/>
  <c r="S48" i="4"/>
  <c r="S47" i="4"/>
  <c r="S45" i="4"/>
  <c r="S46" i="4"/>
  <c r="S37" i="4"/>
  <c r="S39" i="4"/>
  <c r="S38" i="4"/>
  <c r="S36" i="4"/>
  <c r="S31" i="4"/>
  <c r="S30" i="4"/>
  <c r="S29" i="4"/>
  <c r="S28" i="4"/>
  <c r="S21" i="4"/>
  <c r="S23" i="4"/>
  <c r="S22" i="4"/>
  <c r="S20" i="4"/>
  <c r="S12" i="4"/>
  <c r="S14" i="4"/>
  <c r="S13" i="4"/>
  <c r="S11" i="4"/>
  <c r="R126" i="2"/>
  <c r="C137" i="2" s="1"/>
  <c r="R127" i="2"/>
  <c r="D140" i="2" s="1"/>
  <c r="R128" i="2"/>
  <c r="R121" i="2"/>
  <c r="C143" i="2" s="1"/>
  <c r="R123" i="2"/>
  <c r="R122" i="2"/>
  <c r="D134" i="2" s="1"/>
  <c r="R116" i="2"/>
  <c r="C140" i="2" s="1"/>
  <c r="R117" i="2"/>
  <c r="R118" i="2"/>
  <c r="R80" i="2"/>
  <c r="R78" i="2"/>
  <c r="C89" i="2" s="1"/>
  <c r="R79" i="2"/>
  <c r="D92" i="2" s="1"/>
  <c r="R73" i="2"/>
  <c r="C95" i="2" s="1"/>
  <c r="R75" i="2"/>
  <c r="R74" i="2"/>
  <c r="D86" i="2" s="1"/>
  <c r="R63" i="2"/>
  <c r="C86" i="2" s="1"/>
  <c r="R64" i="2"/>
  <c r="R65" i="2"/>
  <c r="R52" i="2"/>
  <c r="R53" i="2"/>
  <c r="R55" i="2"/>
  <c r="R54" i="2"/>
  <c r="R47" i="2"/>
  <c r="R45" i="2"/>
  <c r="R44" i="2"/>
  <c r="R46" i="2"/>
  <c r="R37" i="2"/>
  <c r="R35" i="2"/>
  <c r="R38" i="2"/>
  <c r="R36" i="2"/>
  <c r="R27" i="2"/>
  <c r="R29" i="2"/>
  <c r="R30" i="2"/>
  <c r="R28" i="2"/>
  <c r="J68" i="2"/>
  <c r="J123" i="2"/>
  <c r="D122" i="2" s="1"/>
  <c r="R20" i="2"/>
  <c r="J75" i="2" s="1"/>
  <c r="D73" i="2" s="1"/>
  <c r="J116" i="2"/>
  <c r="C116" i="2" s="1"/>
  <c r="R10" i="2"/>
  <c r="R11" i="2"/>
  <c r="R12" i="2"/>
  <c r="R13" i="2"/>
  <c r="A149" i="2"/>
  <c r="A146" i="2"/>
  <c r="A152" i="2" s="1"/>
  <c r="E75" i="2" l="1"/>
  <c r="C118" i="2"/>
  <c r="D74" i="2"/>
  <c r="E199" i="4"/>
  <c r="F187" i="4"/>
  <c r="E202" i="4"/>
  <c r="F190" i="4"/>
  <c r="E205" i="4"/>
  <c r="F193" i="4"/>
  <c r="F184" i="4"/>
  <c r="E193" i="4"/>
  <c r="D196" i="4"/>
  <c r="F126" i="4"/>
  <c r="E135" i="4"/>
  <c r="F132" i="4"/>
  <c r="K178" i="4"/>
  <c r="K167" i="4"/>
  <c r="K90" i="4"/>
  <c r="K101" i="4"/>
  <c r="K172" i="4"/>
  <c r="K92" i="4"/>
  <c r="K162" i="4"/>
  <c r="K99" i="4"/>
  <c r="K177" i="4"/>
  <c r="K173" i="4"/>
  <c r="K118" i="4"/>
  <c r="K107" i="4"/>
  <c r="K176" i="4"/>
  <c r="K157" i="4"/>
  <c r="K171" i="4"/>
  <c r="K152" i="4"/>
  <c r="K116" i="4"/>
  <c r="K109" i="4"/>
  <c r="K115" i="4"/>
  <c r="K153" i="4"/>
  <c r="K166" i="4"/>
  <c r="K108" i="4"/>
  <c r="K158" i="4"/>
  <c r="K106" i="4"/>
  <c r="K161" i="4"/>
  <c r="K117" i="4"/>
  <c r="K163" i="4"/>
  <c r="K91" i="4"/>
  <c r="K156" i="4"/>
  <c r="K98" i="4"/>
  <c r="K168" i="4"/>
  <c r="K89" i="4"/>
  <c r="K151" i="4"/>
  <c r="K100" i="4"/>
  <c r="E117" i="2"/>
  <c r="D137" i="2"/>
  <c r="E134" i="2"/>
  <c r="D95" i="2"/>
  <c r="E92" i="2"/>
  <c r="J74" i="2"/>
  <c r="J117" i="2"/>
  <c r="J122" i="2"/>
  <c r="J69" i="2"/>
  <c r="J79" i="2"/>
  <c r="J112" i="2"/>
  <c r="J64" i="2"/>
  <c r="J127" i="2"/>
  <c r="J78" i="2"/>
  <c r="J126" i="2"/>
  <c r="J65" i="2"/>
  <c r="J113" i="2"/>
  <c r="J73" i="2"/>
  <c r="J70" i="2"/>
  <c r="J118" i="2"/>
  <c r="J121" i="2"/>
  <c r="C70" i="2"/>
  <c r="E69" i="2"/>
  <c r="C68" i="2"/>
  <c r="E123" i="2"/>
  <c r="D121" i="2"/>
  <c r="J63" i="2"/>
  <c r="J80" i="2"/>
  <c r="J128" i="2"/>
  <c r="J111" i="2"/>
  <c r="A36" i="2"/>
  <c r="A29" i="2" s="1"/>
  <c r="A37" i="2"/>
  <c r="A30" i="2" s="1"/>
  <c r="A38" i="2" s="1"/>
  <c r="A31" i="2" s="1"/>
  <c r="A39" i="2" s="1"/>
  <c r="A32" i="2" s="1"/>
  <c r="A40" i="2" s="1"/>
  <c r="E173" i="4" l="1"/>
  <c r="F171" i="4"/>
  <c r="D172" i="4"/>
  <c r="D92" i="4"/>
  <c r="E93" i="4"/>
  <c r="F94" i="4"/>
  <c r="D90" i="4"/>
  <c r="F89" i="4"/>
  <c r="F178" i="4"/>
  <c r="E176" i="4"/>
  <c r="E177" i="4"/>
  <c r="F101" i="4"/>
  <c r="E103" i="4"/>
  <c r="E100" i="4"/>
  <c r="E99" i="4"/>
  <c r="F166" i="4"/>
  <c r="D167" i="4"/>
  <c r="E168" i="4"/>
  <c r="F176" i="4"/>
  <c r="D177" i="4"/>
  <c r="E178" i="4"/>
  <c r="D162" i="4"/>
  <c r="E163" i="4"/>
  <c r="F161" i="4"/>
  <c r="E172" i="4"/>
  <c r="F173" i="4"/>
  <c r="E171" i="4"/>
  <c r="E102" i="4"/>
  <c r="F98" i="4"/>
  <c r="D101" i="4"/>
  <c r="D99" i="4"/>
  <c r="E94" i="4"/>
  <c r="F93" i="4"/>
  <c r="E91" i="4"/>
  <c r="E90" i="4"/>
  <c r="E158" i="4"/>
  <c r="F156" i="4"/>
  <c r="D157" i="4"/>
  <c r="D109" i="4"/>
  <c r="F111" i="4"/>
  <c r="F106" i="4"/>
  <c r="D107" i="4"/>
  <c r="E110" i="4"/>
  <c r="D178" i="4"/>
  <c r="F177" i="4"/>
  <c r="D176" i="4"/>
  <c r="E117" i="4"/>
  <c r="E120" i="4"/>
  <c r="E116" i="4"/>
  <c r="F118" i="4"/>
  <c r="E111" i="4"/>
  <c r="E107" i="4"/>
  <c r="F110" i="4"/>
  <c r="E108" i="4"/>
  <c r="F151" i="4"/>
  <c r="D152" i="4"/>
  <c r="E153" i="4"/>
  <c r="D118" i="4"/>
  <c r="F115" i="4"/>
  <c r="E119" i="4"/>
  <c r="D116" i="4"/>
  <c r="D173" i="4"/>
  <c r="F172" i="4"/>
  <c r="D171" i="4"/>
  <c r="D111" i="4"/>
  <c r="E106" i="4"/>
  <c r="F108" i="4"/>
  <c r="E109" i="4"/>
  <c r="E152" i="4"/>
  <c r="E151" i="4"/>
  <c r="F153" i="4"/>
  <c r="D166" i="4"/>
  <c r="D168" i="4"/>
  <c r="F167" i="4"/>
  <c r="D119" i="4"/>
  <c r="F116" i="4"/>
  <c r="F120" i="4"/>
  <c r="D117" i="4"/>
  <c r="D115" i="4"/>
  <c r="E118" i="4"/>
  <c r="F119" i="4"/>
  <c r="D120" i="4"/>
  <c r="E115" i="4"/>
  <c r="F117" i="4"/>
  <c r="F109" i="4"/>
  <c r="F107" i="4"/>
  <c r="D110" i="4"/>
  <c r="D108" i="4"/>
  <c r="D106" i="4"/>
  <c r="D163" i="4"/>
  <c r="F162" i="4"/>
  <c r="D161" i="4"/>
  <c r="F158" i="4"/>
  <c r="E156" i="4"/>
  <c r="E157" i="4"/>
  <c r="F103" i="4"/>
  <c r="D102" i="4"/>
  <c r="D98" i="4"/>
  <c r="F99" i="4"/>
  <c r="D100" i="4"/>
  <c r="D94" i="4"/>
  <c r="E89" i="4"/>
  <c r="F91" i="4"/>
  <c r="E92" i="4"/>
  <c r="F157" i="4"/>
  <c r="D156" i="4"/>
  <c r="D158" i="4"/>
  <c r="E162" i="4"/>
  <c r="F163" i="4"/>
  <c r="E161" i="4"/>
  <c r="E98" i="4"/>
  <c r="E101" i="4"/>
  <c r="D103" i="4"/>
  <c r="F102" i="4"/>
  <c r="F100" i="4"/>
  <c r="D89" i="4"/>
  <c r="D93" i="4"/>
  <c r="D91" i="4"/>
  <c r="F92" i="4"/>
  <c r="F90" i="4"/>
  <c r="D153" i="4"/>
  <c r="F152" i="4"/>
  <c r="D151" i="4"/>
  <c r="E167" i="4"/>
  <c r="E166" i="4"/>
  <c r="F168" i="4"/>
  <c r="E121" i="2"/>
  <c r="C122" i="2"/>
  <c r="D123" i="2"/>
  <c r="D75" i="2"/>
  <c r="C74" i="2"/>
  <c r="E73" i="2"/>
  <c r="D70" i="2"/>
  <c r="E68" i="2"/>
  <c r="C69" i="2"/>
  <c r="D118" i="2"/>
  <c r="E116" i="2"/>
  <c r="C117" i="2"/>
  <c r="C64" i="2"/>
  <c r="D65" i="2"/>
  <c r="E63" i="2"/>
  <c r="D80" i="2"/>
  <c r="E78" i="2"/>
  <c r="C79" i="2"/>
  <c r="D128" i="2"/>
  <c r="E126" i="2"/>
  <c r="C127" i="2"/>
  <c r="D113" i="2"/>
  <c r="E111" i="2"/>
  <c r="C112" i="2"/>
  <c r="E113" i="2"/>
  <c r="D112" i="2"/>
  <c r="D111" i="2"/>
  <c r="C126" i="2"/>
  <c r="E127" i="2"/>
  <c r="C128" i="2"/>
  <c r="D64" i="2"/>
  <c r="E65" i="2"/>
  <c r="D63" i="2"/>
  <c r="E79" i="2"/>
  <c r="C78" i="2"/>
  <c r="C80" i="2"/>
  <c r="C123" i="2"/>
  <c r="C121" i="2"/>
  <c r="E122" i="2"/>
  <c r="E70" i="2"/>
  <c r="D69" i="2"/>
  <c r="D68" i="2"/>
  <c r="E118" i="2"/>
  <c r="D116" i="2"/>
  <c r="D117" i="2"/>
  <c r="C73" i="2"/>
  <c r="E74" i="2"/>
  <c r="C75" i="2"/>
  <c r="D127" i="2"/>
  <c r="E128" i="2"/>
  <c r="D126" i="2"/>
  <c r="C65" i="2"/>
  <c r="C63" i="2"/>
  <c r="E64" i="2"/>
  <c r="C113" i="2"/>
  <c r="E112" i="2"/>
  <c r="C111" i="2"/>
  <c r="E80" i="2"/>
  <c r="D79" i="2"/>
  <c r="D78" i="2"/>
</calcChain>
</file>

<file path=xl/sharedStrings.xml><?xml version="1.0" encoding="utf-8"?>
<sst xmlns="http://schemas.openxmlformats.org/spreadsheetml/2006/main" count="796" uniqueCount="175">
  <si>
    <t xml:space="preserve">Numero de pistas necesarias </t>
  </si>
  <si>
    <t>Pistas</t>
  </si>
  <si>
    <t>Hora</t>
  </si>
  <si>
    <t>Pista</t>
  </si>
  <si>
    <t>Equip 1</t>
  </si>
  <si>
    <t>Equip 2</t>
  </si>
  <si>
    <t>Àrbitre</t>
  </si>
  <si>
    <t>Punts</t>
  </si>
  <si>
    <t>RankA</t>
  </si>
  <si>
    <t>Partits Guanyats</t>
  </si>
  <si>
    <t>Punt F</t>
  </si>
  <si>
    <t>Punt C</t>
  </si>
  <si>
    <t>Coef Punts</t>
  </si>
  <si>
    <t>Rank Final</t>
  </si>
  <si>
    <t>Arbitre</t>
  </si>
  <si>
    <t>SF1</t>
  </si>
  <si>
    <t>2n Grup A</t>
  </si>
  <si>
    <t>1r Grup A</t>
  </si>
  <si>
    <t>Final</t>
  </si>
  <si>
    <t>Guanyador SF1</t>
  </si>
  <si>
    <t>FCVB</t>
  </si>
  <si>
    <t>Duración Partido</t>
  </si>
  <si>
    <t xml:space="preserve">Punts </t>
  </si>
  <si>
    <t>Grup A</t>
  </si>
  <si>
    <t>Cntrol</t>
  </si>
  <si>
    <t>Grup B</t>
  </si>
  <si>
    <t>Control</t>
  </si>
  <si>
    <t>Grup C</t>
  </si>
  <si>
    <t>Grup D</t>
  </si>
  <si>
    <t>Grup E</t>
  </si>
  <si>
    <t>Grup F</t>
  </si>
  <si>
    <t>1/8F1</t>
  </si>
  <si>
    <t>1/8F2</t>
  </si>
  <si>
    <t>1/8F3</t>
  </si>
  <si>
    <t>1/8F4</t>
  </si>
  <si>
    <t>QF1</t>
  </si>
  <si>
    <t>QF2</t>
  </si>
  <si>
    <t>Guanyador QF1</t>
  </si>
  <si>
    <t>QF3</t>
  </si>
  <si>
    <t>QF4</t>
  </si>
  <si>
    <t>Guanyador QF3</t>
  </si>
  <si>
    <t>Guanyador QF2</t>
  </si>
  <si>
    <t>Perdedor QF2</t>
  </si>
  <si>
    <t>SF2</t>
  </si>
  <si>
    <t>Guanyador QF4</t>
  </si>
  <si>
    <t>Perdedor QF4</t>
  </si>
  <si>
    <t>Guanyador SF2</t>
  </si>
  <si>
    <t>Dissabte Matí</t>
  </si>
  <si>
    <t>Fase Final</t>
  </si>
  <si>
    <t>2n Grup C</t>
  </si>
  <si>
    <t>2n Grup B</t>
  </si>
  <si>
    <t>1er Grup D</t>
  </si>
  <si>
    <t>1r Grup B</t>
  </si>
  <si>
    <t>2n Grup D</t>
  </si>
  <si>
    <t>1er Grup C</t>
  </si>
  <si>
    <t>Grup 1 Matí</t>
  </si>
  <si>
    <t>Grup 2 Matí</t>
  </si>
  <si>
    <t>Grup 3 Matí</t>
  </si>
  <si>
    <t>Grup 4 Matí</t>
  </si>
  <si>
    <t>Grup 5 Matí</t>
  </si>
  <si>
    <t>Grup 6 Matí</t>
  </si>
  <si>
    <t>Hora de Inicio Mañana</t>
  </si>
  <si>
    <t>Hora de Inicio tarde</t>
  </si>
  <si>
    <t>Fase Final Campionat</t>
  </si>
  <si>
    <t>Creuaments Campionat</t>
  </si>
  <si>
    <t>Fase Final Plus</t>
  </si>
  <si>
    <t>Creuaments Plus</t>
  </si>
  <si>
    <t>1r Grup D</t>
  </si>
  <si>
    <t>1r Grup C</t>
  </si>
  <si>
    <t>Grup 7 Matí</t>
  </si>
  <si>
    <t>Grup 8 Matí</t>
  </si>
  <si>
    <t>Ganador 1/8F 1</t>
  </si>
  <si>
    <t>Perdedor QF3</t>
  </si>
  <si>
    <t>2n Grup F</t>
  </si>
  <si>
    <t>2n Grup E</t>
  </si>
  <si>
    <t>1r Grup E</t>
  </si>
  <si>
    <t>1r Grup F</t>
  </si>
  <si>
    <t>Guanyador 1/8F 2</t>
  </si>
  <si>
    <t>Guanyador 1/8F 3</t>
  </si>
  <si>
    <t>Guanyador 1/8F 4</t>
  </si>
  <si>
    <t>Perdedor 1/8F1</t>
  </si>
  <si>
    <t>Perdedor 1/8F2</t>
  </si>
  <si>
    <t>Perdedor 1/8F3</t>
  </si>
  <si>
    <t>Perdedor 1/8F4</t>
  </si>
  <si>
    <t>Equip</t>
  </si>
  <si>
    <t>Punts RFEVB Parella</t>
  </si>
  <si>
    <t>Seed Parella</t>
  </si>
  <si>
    <t>Punts FCVB</t>
  </si>
  <si>
    <t>FISCHER - DIEDERICHS</t>
  </si>
  <si>
    <t>NOGUE - NOGUE</t>
  </si>
  <si>
    <t>MYKINA - NAVAS</t>
  </si>
  <si>
    <t>FABREGA - ESTANY</t>
  </si>
  <si>
    <t>VIVES - MONTINARO</t>
  </si>
  <si>
    <t>STORARI - NACCARATO</t>
  </si>
  <si>
    <t>ARRIOLA - RONCHI</t>
  </si>
  <si>
    <t>CICCONE - SARI</t>
  </si>
  <si>
    <t>MURO - GALA</t>
  </si>
  <si>
    <t>FRANCISCO - MARTINEZ</t>
  </si>
  <si>
    <t>TOMAS - ROMAN</t>
  </si>
  <si>
    <t>FRANçOIS - HERNANDEZ</t>
  </si>
  <si>
    <t>MATARIN - AMOROS</t>
  </si>
  <si>
    <t>MACIA - GARCIA</t>
  </si>
  <si>
    <t>PANZANO - GALAN</t>
  </si>
  <si>
    <t>RONCHI - MAESTRI</t>
  </si>
  <si>
    <t>TARGLIAFERRO - MOLINE</t>
  </si>
  <si>
    <t>GONZALEZ - REDONDO</t>
  </si>
  <si>
    <t>SOROKA - PRIETO</t>
  </si>
  <si>
    <t>GOMEZ - PONSA</t>
  </si>
  <si>
    <t>DI GIULIO - LABIAUSSE</t>
  </si>
  <si>
    <t>ROVIRA - GIMENO</t>
  </si>
  <si>
    <t>GALINDO - VERDAGUER</t>
  </si>
  <si>
    <t>GALLEGO - CLAVERO</t>
  </si>
  <si>
    <t>ALISEDA - VALIÑO</t>
  </si>
  <si>
    <t>SANCER - SANCER</t>
  </si>
  <si>
    <t>ESTALELLA - MUÑOZ</t>
  </si>
  <si>
    <t>NIETO - BARREDA</t>
  </si>
  <si>
    <t>MARTINEZ - DALMAU</t>
  </si>
  <si>
    <t>TORRES - DIAZ</t>
  </si>
  <si>
    <t>MENDEZ - SOTO</t>
  </si>
  <si>
    <t>SANCHEZ - ROJO</t>
  </si>
  <si>
    <t>SALAS  - VILLAR</t>
  </si>
  <si>
    <t>SAGRERA - UREÑA</t>
  </si>
  <si>
    <t>CAMA - SERRA</t>
  </si>
  <si>
    <t>MARTINEZ - GARCIA</t>
  </si>
  <si>
    <t>NEWSOME - CUEVAS</t>
  </si>
  <si>
    <t>MILKO - FERRER</t>
  </si>
  <si>
    <t>BELMONTE - GRACIA</t>
  </si>
  <si>
    <t>PALLARES - GARCIA</t>
  </si>
  <si>
    <t>VIDAL - DE FILIPPI</t>
  </si>
  <si>
    <t>ROIG - CALLEJO</t>
  </si>
  <si>
    <t>SANCHEZ - SANCHEZ</t>
  </si>
  <si>
    <t>CLARAMUNT - ANTON</t>
  </si>
  <si>
    <t>DE LERA - GUSPI</t>
  </si>
  <si>
    <t>CAMPO - CARDONA</t>
  </si>
  <si>
    <t>GONZALEZ - PUDDU</t>
  </si>
  <si>
    <t>ESCURA - SANCHEZ</t>
  </si>
  <si>
    <t>AGUILO - CLANCHET</t>
  </si>
  <si>
    <t>GRIMA - BALASCH</t>
  </si>
  <si>
    <t>MAS - ENAMORADO</t>
  </si>
  <si>
    <t>ANENTO - SELENT</t>
  </si>
  <si>
    <t>APARICIO - TOCADOS</t>
  </si>
  <si>
    <t>MERKEL - PETRACHI</t>
  </si>
  <si>
    <t>BLASI - LUNA</t>
  </si>
  <si>
    <t>PEINADOR - VELEZ</t>
  </si>
  <si>
    <t>MONTFORT - SCOCCO</t>
  </si>
  <si>
    <t>MOLET - TODOROVA</t>
  </si>
  <si>
    <t>Perdedor SF1</t>
  </si>
  <si>
    <t>F Final Grup A</t>
  </si>
  <si>
    <t>F Final Grup B</t>
  </si>
  <si>
    <t>F Final Grup C</t>
  </si>
  <si>
    <t>F Final Grup D</t>
  </si>
  <si>
    <t>F Final QF1</t>
  </si>
  <si>
    <t>F Final QF2</t>
  </si>
  <si>
    <t>F Final QF3</t>
  </si>
  <si>
    <t>F Final QF4</t>
  </si>
  <si>
    <t>F Final SF1</t>
  </si>
  <si>
    <t>F Final SF2</t>
  </si>
  <si>
    <t>FINAL</t>
  </si>
  <si>
    <t>F Plus Grup A</t>
  </si>
  <si>
    <t>F Plus Grup B</t>
  </si>
  <si>
    <t>F Plus Grup C</t>
  </si>
  <si>
    <t>F Plus Grup D</t>
  </si>
  <si>
    <t>F Plus Grup E</t>
  </si>
  <si>
    <t>F Plus Grup F</t>
  </si>
  <si>
    <t>F Plus 1/8F1</t>
  </si>
  <si>
    <t>F Plus 1/8F2</t>
  </si>
  <si>
    <t>F Plus 1/8F3</t>
  </si>
  <si>
    <t>F Plus 1/8F4</t>
  </si>
  <si>
    <t>F Plus QF1</t>
  </si>
  <si>
    <t>F Plus QF2</t>
  </si>
  <si>
    <t>F Plus QF3</t>
  </si>
  <si>
    <t>F Plus QF4</t>
  </si>
  <si>
    <t>F Plus SF1</t>
  </si>
  <si>
    <t>F Plus SF2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</si>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</sst>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Aptos Narrow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2CAEC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20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0" fontId="0" fillId="0" borderId="3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0" fillId="0" borderId="0" xfId="0" applyNumberForma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3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0" xfId="0" applyFill="1"/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5" fillId="0" borderId="0" xfId="0" applyFont="1" applyFill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73327</xdr:colOff>
      <xdr:row>1</xdr:row>
      <xdr:rowOff>4885</xdr:rowOff>
    </xdr:from>
    <xdr:to>
      <xdr:col>9</xdr:col>
      <xdr:colOff>128432</xdr:colOff>
      <xdr:row>5</xdr:row>
      <xdr:rowOff>171451</xdr:rowOff>
    </xdr:to>
    <xdr:pic>
      <xdr:nvPicPr>
        <xdr:cNvPr id="2" name="1 Imagen" descr="logo FCVb 0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2177" y="195385"/>
          <a:ext cx="1826755" cy="928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0</xdr:row>
      <xdr:rowOff>179282</xdr:rowOff>
    </xdr:from>
    <xdr:to>
      <xdr:col>20</xdr:col>
      <xdr:colOff>0</xdr:colOff>
      <xdr:row>6</xdr:row>
      <xdr:rowOff>188686</xdr:rowOff>
    </xdr:to>
    <xdr:pic>
      <xdr:nvPicPr>
        <xdr:cNvPr id="3" name="4 Imagen" descr="logo FCVb 0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5575" y="179282"/>
          <a:ext cx="0" cy="961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0</xdr:row>
      <xdr:rowOff>179282</xdr:rowOff>
    </xdr:from>
    <xdr:to>
      <xdr:col>20</xdr:col>
      <xdr:colOff>0</xdr:colOff>
      <xdr:row>6</xdr:row>
      <xdr:rowOff>188686</xdr:rowOff>
    </xdr:to>
    <xdr:pic>
      <xdr:nvPicPr>
        <xdr:cNvPr id="4" name="3 Imagen" descr="logo FCVb 09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5575" y="179282"/>
          <a:ext cx="0" cy="961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511477</xdr:colOff>
      <xdr:row>1</xdr:row>
      <xdr:rowOff>81084</xdr:rowOff>
    </xdr:from>
    <xdr:to>
      <xdr:col>9</xdr:col>
      <xdr:colOff>261782</xdr:colOff>
      <xdr:row>6</xdr:row>
      <xdr:rowOff>19049</xdr:rowOff>
    </xdr:to>
    <xdr:pic>
      <xdr:nvPicPr>
        <xdr:cNvPr id="2" name="1 Imagen" descr="logo FCVb 0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5627" y="271584"/>
          <a:ext cx="2036305" cy="89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0</xdr:row>
      <xdr:rowOff>179282</xdr:rowOff>
    </xdr:from>
    <xdr:to>
      <xdr:col>21</xdr:col>
      <xdr:colOff>0</xdr:colOff>
      <xdr:row>6</xdr:row>
      <xdr:rowOff>188686</xdr:rowOff>
    </xdr:to>
    <xdr:pic>
      <xdr:nvPicPr>
        <xdr:cNvPr id="3" name="4 Imagen" descr="logo FCVb 09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79282"/>
          <a:ext cx="0" cy="961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0</xdr:row>
      <xdr:rowOff>179282</xdr:rowOff>
    </xdr:from>
    <xdr:to>
      <xdr:col>21</xdr:col>
      <xdr:colOff>0</xdr:colOff>
      <xdr:row>6</xdr:row>
      <xdr:rowOff>188686</xdr:rowOff>
    </xdr:to>
    <xdr:pic>
      <xdr:nvPicPr>
        <xdr:cNvPr id="4" name="3 Imagen" descr="logo FCVb 0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79282"/>
          <a:ext cx="0" cy="961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149</xdr:row>
      <xdr:rowOff>0</xdr:rowOff>
    </xdr:from>
    <xdr:ext cx="0" cy="1000125"/>
    <xdr:pic>
      <xdr:nvPicPr>
        <xdr:cNvPr id="5" name="image1.jpg" descr="logo FCVb 0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74450" y="1333500"/>
          <a:ext cx="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0</xdr:colOff>
      <xdr:row>149</xdr:row>
      <xdr:rowOff>0</xdr:rowOff>
    </xdr:from>
    <xdr:ext cx="0" cy="1000125"/>
    <xdr:pic>
      <xdr:nvPicPr>
        <xdr:cNvPr id="6" name="image1.jpg" descr="logo FCVb 0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74450" y="1333500"/>
          <a:ext cx="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0</xdr:colOff>
      <xdr:row>149</xdr:row>
      <xdr:rowOff>0</xdr:rowOff>
    </xdr:from>
    <xdr:ext cx="0" cy="1000125"/>
    <xdr:pic>
      <xdr:nvPicPr>
        <xdr:cNvPr id="7" name="image1.jpg" descr="logo FCVb 0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74450" y="1333500"/>
          <a:ext cx="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0</xdr:colOff>
      <xdr:row>149</xdr:row>
      <xdr:rowOff>0</xdr:rowOff>
    </xdr:from>
    <xdr:ext cx="0" cy="1000125"/>
    <xdr:pic>
      <xdr:nvPicPr>
        <xdr:cNvPr id="8" name="image1.jpg" descr="logo FCVb 0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74450" y="1333500"/>
          <a:ext cx="0" cy="1000125"/>
        </a:xfrm>
        <a:prstGeom prst="rect">
          <a:avLst/>
        </a:prstGeom>
        <a:noFill/>
      </xdr:spPr>
    </xdr:pic>
    <xdr:clientData fLocksWithSheet="0"/>
  </xdr:oneCellAnchor>
  <xdr:twoCellAnchor>
    <xdr:from>
      <xdr:col>21</xdr:col>
      <xdr:colOff>0</xdr:colOff>
      <xdr:row>149</xdr:row>
      <xdr:rowOff>179282</xdr:rowOff>
    </xdr:from>
    <xdr:to>
      <xdr:col>21</xdr:col>
      <xdr:colOff>0</xdr:colOff>
      <xdr:row>154</xdr:row>
      <xdr:rowOff>188686</xdr:rowOff>
    </xdr:to>
    <xdr:pic>
      <xdr:nvPicPr>
        <xdr:cNvPr id="9" name="4 Imagen" descr="logo FCVb 09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4450" y="15127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149</xdr:row>
      <xdr:rowOff>179282</xdr:rowOff>
    </xdr:from>
    <xdr:to>
      <xdr:col>21</xdr:col>
      <xdr:colOff>0</xdr:colOff>
      <xdr:row>154</xdr:row>
      <xdr:rowOff>188686</xdr:rowOff>
    </xdr:to>
    <xdr:pic>
      <xdr:nvPicPr>
        <xdr:cNvPr id="10" name="3 Imagen" descr="logo FCVb 0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4450" y="15127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149</xdr:row>
      <xdr:rowOff>179282</xdr:rowOff>
    </xdr:from>
    <xdr:to>
      <xdr:col>21</xdr:col>
      <xdr:colOff>0</xdr:colOff>
      <xdr:row>154</xdr:row>
      <xdr:rowOff>188686</xdr:rowOff>
    </xdr:to>
    <xdr:pic>
      <xdr:nvPicPr>
        <xdr:cNvPr id="11" name="4 Imagen" descr="logo FCVb 0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4450" y="15127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149</xdr:row>
      <xdr:rowOff>179282</xdr:rowOff>
    </xdr:from>
    <xdr:to>
      <xdr:col>21</xdr:col>
      <xdr:colOff>0</xdr:colOff>
      <xdr:row>154</xdr:row>
      <xdr:rowOff>188686</xdr:rowOff>
    </xdr:to>
    <xdr:pic>
      <xdr:nvPicPr>
        <xdr:cNvPr id="12" name="3 Imagen" descr="logo FCVb 09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4450" y="15127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149</xdr:row>
      <xdr:rowOff>179282</xdr:rowOff>
    </xdr:from>
    <xdr:to>
      <xdr:col>21</xdr:col>
      <xdr:colOff>0</xdr:colOff>
      <xdr:row>154</xdr:row>
      <xdr:rowOff>188686</xdr:rowOff>
    </xdr:to>
    <xdr:pic>
      <xdr:nvPicPr>
        <xdr:cNvPr id="13" name="4 Imagen" descr="logo FCVb 09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4450" y="15127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149</xdr:row>
      <xdr:rowOff>179282</xdr:rowOff>
    </xdr:from>
    <xdr:to>
      <xdr:col>21</xdr:col>
      <xdr:colOff>0</xdr:colOff>
      <xdr:row>154</xdr:row>
      <xdr:rowOff>188686</xdr:rowOff>
    </xdr:to>
    <xdr:pic>
      <xdr:nvPicPr>
        <xdr:cNvPr id="14" name="3 Imagen" descr="logo FCVb 09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4450" y="15127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169</xdr:row>
      <xdr:rowOff>0</xdr:rowOff>
    </xdr:from>
    <xdr:ext cx="0" cy="1000125"/>
    <xdr:pic>
      <xdr:nvPicPr>
        <xdr:cNvPr id="15" name="image1.jpg" descr="logo FCVb 0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45325" y="44805600"/>
          <a:ext cx="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0</xdr:colOff>
      <xdr:row>169</xdr:row>
      <xdr:rowOff>0</xdr:rowOff>
    </xdr:from>
    <xdr:ext cx="0" cy="1000125"/>
    <xdr:pic>
      <xdr:nvPicPr>
        <xdr:cNvPr id="16" name="image1.jpg" descr="logo FCVb 0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45325" y="44805600"/>
          <a:ext cx="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0</xdr:colOff>
      <xdr:row>169</xdr:row>
      <xdr:rowOff>0</xdr:rowOff>
    </xdr:from>
    <xdr:ext cx="0" cy="1000125"/>
    <xdr:pic>
      <xdr:nvPicPr>
        <xdr:cNvPr id="17" name="image1.jpg" descr="logo FCVb 0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45325" y="44805600"/>
          <a:ext cx="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0</xdr:colOff>
      <xdr:row>169</xdr:row>
      <xdr:rowOff>0</xdr:rowOff>
    </xdr:from>
    <xdr:ext cx="0" cy="1000125"/>
    <xdr:pic>
      <xdr:nvPicPr>
        <xdr:cNvPr id="18" name="image1.jpg" descr="logo FCVb 0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45325" y="44805600"/>
          <a:ext cx="0" cy="1000125"/>
        </a:xfrm>
        <a:prstGeom prst="rect">
          <a:avLst/>
        </a:prstGeom>
        <a:noFill/>
      </xdr:spPr>
    </xdr:pic>
    <xdr:clientData fLocksWithSheet="0"/>
  </xdr:oneCellAnchor>
  <xdr:twoCellAnchor>
    <xdr:from>
      <xdr:col>21</xdr:col>
      <xdr:colOff>0</xdr:colOff>
      <xdr:row>169</xdr:row>
      <xdr:rowOff>179282</xdr:rowOff>
    </xdr:from>
    <xdr:to>
      <xdr:col>21</xdr:col>
      <xdr:colOff>0</xdr:colOff>
      <xdr:row>174</xdr:row>
      <xdr:rowOff>188686</xdr:rowOff>
    </xdr:to>
    <xdr:pic>
      <xdr:nvPicPr>
        <xdr:cNvPr id="19" name="4 Imagen" descr="logo FCVb 09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25" y="449848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169</xdr:row>
      <xdr:rowOff>179282</xdr:rowOff>
    </xdr:from>
    <xdr:to>
      <xdr:col>21</xdr:col>
      <xdr:colOff>0</xdr:colOff>
      <xdr:row>174</xdr:row>
      <xdr:rowOff>188686</xdr:rowOff>
    </xdr:to>
    <xdr:pic>
      <xdr:nvPicPr>
        <xdr:cNvPr id="20" name="3 Imagen" descr="logo FCVb 0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25" y="449848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169</xdr:row>
      <xdr:rowOff>179282</xdr:rowOff>
    </xdr:from>
    <xdr:to>
      <xdr:col>21</xdr:col>
      <xdr:colOff>0</xdr:colOff>
      <xdr:row>174</xdr:row>
      <xdr:rowOff>188686</xdr:rowOff>
    </xdr:to>
    <xdr:pic>
      <xdr:nvPicPr>
        <xdr:cNvPr id="21" name="4 Imagen" descr="logo FCVb 0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25" y="449848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169</xdr:row>
      <xdr:rowOff>179282</xdr:rowOff>
    </xdr:from>
    <xdr:to>
      <xdr:col>21</xdr:col>
      <xdr:colOff>0</xdr:colOff>
      <xdr:row>174</xdr:row>
      <xdr:rowOff>188686</xdr:rowOff>
    </xdr:to>
    <xdr:pic>
      <xdr:nvPicPr>
        <xdr:cNvPr id="22" name="3 Imagen" descr="logo FCVb 09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25" y="449848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169</xdr:row>
      <xdr:rowOff>179282</xdr:rowOff>
    </xdr:from>
    <xdr:to>
      <xdr:col>21</xdr:col>
      <xdr:colOff>0</xdr:colOff>
      <xdr:row>174</xdr:row>
      <xdr:rowOff>188686</xdr:rowOff>
    </xdr:to>
    <xdr:pic>
      <xdr:nvPicPr>
        <xdr:cNvPr id="23" name="4 Imagen" descr="logo FCVb 09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25" y="449848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169</xdr:row>
      <xdr:rowOff>179282</xdr:rowOff>
    </xdr:from>
    <xdr:to>
      <xdr:col>21</xdr:col>
      <xdr:colOff>0</xdr:colOff>
      <xdr:row>174</xdr:row>
      <xdr:rowOff>188686</xdr:rowOff>
    </xdr:to>
    <xdr:pic>
      <xdr:nvPicPr>
        <xdr:cNvPr id="24" name="3 Imagen" descr="logo FCVb 09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25" y="44984882"/>
          <a:ext cx="0" cy="139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topLeftCell="A17" workbookViewId="0">
      <selection activeCell="I41" sqref="I41"/>
    </sheetView>
  </sheetViews>
  <sheetFormatPr baseColWidth="10" defaultColWidth="11.44140625" defaultRowHeight="14.4"/>
  <cols>
    <col min="1" max="1" width="13" customWidth="1"/>
    <col min="2" max="2" width="6" bestFit="1" customWidth="1"/>
    <col min="3" max="4" width="23.88671875" customWidth="1"/>
    <col min="5" max="5" width="20.109375" bestFit="1" customWidth="1"/>
    <col min="6" max="6" width="7.33203125" bestFit="1" customWidth="1"/>
    <col min="7" max="7" width="6.88671875" bestFit="1" customWidth="1"/>
    <col min="9" max="9" width="8.88671875" customWidth="1"/>
    <col min="10" max="10" width="20.109375" bestFit="1" customWidth="1"/>
    <col min="11" max="11" width="29.109375" bestFit="1" customWidth="1"/>
    <col min="12" max="12" width="7.44140625" bestFit="1" customWidth="1"/>
    <col min="13" max="13" width="7.6640625" bestFit="1" customWidth="1"/>
    <col min="14" max="14" width="15.6640625" bestFit="1" customWidth="1"/>
    <col min="15" max="15" width="8.109375" bestFit="1" customWidth="1"/>
    <col min="17" max="17" width="11.109375" bestFit="1" customWidth="1"/>
    <col min="18" max="19" width="24.109375" customWidth="1"/>
  </cols>
  <sheetData>
    <row r="1" spans="1:18">
      <c r="A1" s="59" t="s">
        <v>47</v>
      </c>
      <c r="B1" s="59"/>
      <c r="C1" s="59"/>
      <c r="D1" s="60"/>
      <c r="E1" s="60"/>
      <c r="F1" s="60"/>
      <c r="G1" s="60"/>
      <c r="K1" s="1" t="s">
        <v>61</v>
      </c>
      <c r="L1" s="2">
        <v>0.375</v>
      </c>
      <c r="N1" t="s">
        <v>21</v>
      </c>
      <c r="O1" s="16">
        <v>1.7361111111111112E-2</v>
      </c>
    </row>
    <row r="2" spans="1:18">
      <c r="A2" s="59"/>
      <c r="B2" s="59"/>
      <c r="C2" s="59"/>
      <c r="D2" s="60"/>
      <c r="E2" s="60"/>
      <c r="F2" s="60"/>
      <c r="G2" s="60"/>
      <c r="K2" s="1" t="s">
        <v>62</v>
      </c>
      <c r="L2" s="2">
        <v>0.65625</v>
      </c>
      <c r="O2" s="16"/>
    </row>
    <row r="3" spans="1:18">
      <c r="A3" s="59"/>
      <c r="B3" s="59"/>
      <c r="C3" s="59"/>
      <c r="D3" s="60"/>
      <c r="E3" s="60"/>
      <c r="F3" s="60"/>
      <c r="G3" s="60"/>
      <c r="K3" s="1" t="s">
        <v>0</v>
      </c>
      <c r="L3" s="4">
        <v>4</v>
      </c>
    </row>
    <row r="4" spans="1:18">
      <c r="A4" s="59"/>
      <c r="B4" s="59"/>
      <c r="C4" s="59"/>
      <c r="D4" s="60"/>
      <c r="E4" s="60"/>
      <c r="F4" s="60"/>
      <c r="G4" s="60"/>
      <c r="K4" s="1" t="s">
        <v>1</v>
      </c>
      <c r="L4" s="5">
        <v>1</v>
      </c>
      <c r="M4" s="5">
        <v>3</v>
      </c>
    </row>
    <row r="5" spans="1:18">
      <c r="A5" s="59"/>
      <c r="B5" s="59"/>
      <c r="C5" s="59"/>
      <c r="D5" s="60"/>
      <c r="E5" s="60"/>
      <c r="F5" s="60"/>
      <c r="G5" s="60"/>
      <c r="L5" s="5">
        <v>2</v>
      </c>
      <c r="M5" s="5">
        <v>4</v>
      </c>
    </row>
    <row r="6" spans="1:18">
      <c r="A6" s="59"/>
      <c r="B6" s="59"/>
      <c r="C6" s="59"/>
      <c r="D6" s="60"/>
      <c r="E6" s="60"/>
      <c r="F6" s="60"/>
      <c r="G6" s="60"/>
    </row>
    <row r="7" spans="1:18">
      <c r="A7" s="59"/>
      <c r="B7" s="59"/>
      <c r="C7" s="59"/>
      <c r="D7" s="60"/>
      <c r="E7" s="60"/>
      <c r="F7" s="60"/>
      <c r="G7" s="60"/>
    </row>
    <row r="8" spans="1:18" ht="16.5" customHeight="1">
      <c r="A8" s="17"/>
      <c r="B8" s="17"/>
      <c r="C8" s="17"/>
      <c r="D8" s="18"/>
      <c r="E8" s="18"/>
      <c r="F8" s="18"/>
      <c r="G8" s="18"/>
    </row>
    <row r="9" spans="1:18" s="11" customFormat="1" ht="21.75" customHeight="1">
      <c r="A9" s="4" t="s">
        <v>2</v>
      </c>
      <c r="B9" s="4" t="s">
        <v>3</v>
      </c>
      <c r="C9" s="10" t="s">
        <v>4</v>
      </c>
      <c r="D9" s="10" t="s">
        <v>5</v>
      </c>
      <c r="E9" s="4" t="s">
        <v>6</v>
      </c>
      <c r="F9" s="10" t="s">
        <v>22</v>
      </c>
      <c r="G9" s="10" t="s">
        <v>7</v>
      </c>
      <c r="I9" s="7" t="s">
        <v>8</v>
      </c>
      <c r="J9" s="9" t="s">
        <v>55</v>
      </c>
      <c r="K9" s="4" t="s">
        <v>9</v>
      </c>
      <c r="L9" s="4" t="s">
        <v>10</v>
      </c>
      <c r="M9" s="4" t="s">
        <v>11</v>
      </c>
      <c r="N9" s="10" t="s">
        <v>12</v>
      </c>
      <c r="O9" s="10" t="s">
        <v>24</v>
      </c>
      <c r="P9"/>
      <c r="Q9" s="4" t="s">
        <v>13</v>
      </c>
      <c r="R9" s="4" t="str">
        <f>J9</f>
        <v>Grup 1 Matí</v>
      </c>
    </row>
    <row r="10" spans="1:18" ht="21.75" customHeight="1">
      <c r="A10" s="8">
        <f>L1</f>
        <v>0.375</v>
      </c>
      <c r="B10" s="4">
        <f>L4</f>
        <v>1</v>
      </c>
      <c r="C10" s="10" t="str">
        <f>J10</f>
        <v>MONTFORT - SCOCCO</v>
      </c>
      <c r="D10" s="10" t="str">
        <f>J12</f>
        <v>VIDAL - DE FILIPPI</v>
      </c>
      <c r="E10" s="19" t="str">
        <f>J11</f>
        <v>MERKEL - PETRACHI</v>
      </c>
      <c r="F10" s="14">
        <v>21</v>
      </c>
      <c r="G10" s="15">
        <v>11</v>
      </c>
      <c r="I10" s="7">
        <f>RANK(O10,O10:O13,0)</f>
        <v>1</v>
      </c>
      <c r="J10" s="10" t="str">
        <f>Entradas!G2</f>
        <v>MONTFORT - SCOCCO</v>
      </c>
      <c r="K10" s="4">
        <f>(IF(F10&gt;G10,1,IF(F10&lt;G10,0,))+(IF(F12&gt;G12,1,IF(F12&lt;G12,0,))+(IF(F14&gt;G14,1,IF(F14&lt;G14,0,)))))</f>
        <v>3</v>
      </c>
      <c r="L10" s="4">
        <f>F10+F12+F14</f>
        <v>63</v>
      </c>
      <c r="M10" s="4">
        <f>G10+G12+G14</f>
        <v>35</v>
      </c>
      <c r="N10" s="20">
        <f>IFERROR(L10/M10,"Max")</f>
        <v>1.8</v>
      </c>
      <c r="O10" s="20">
        <f>IF(N10="Max",400,(K10*100)+N10)</f>
        <v>301.8</v>
      </c>
      <c r="Q10" s="21">
        <v>1</v>
      </c>
      <c r="R10" s="7" t="str">
        <f>IF($K10+$K11+$K12+$K13=6,INDEX(J10:J13,MATCH($Q10,I10:I13,0)),"Pdte")</f>
        <v>MONTFORT - SCOCCO</v>
      </c>
    </row>
    <row r="11" spans="1:18" ht="21.75" customHeight="1">
      <c r="A11" s="8">
        <f>A19+$O$1</f>
        <v>0.40972222222222221</v>
      </c>
      <c r="B11" s="4">
        <f>L4</f>
        <v>1</v>
      </c>
      <c r="C11" s="10" t="str">
        <f>J11</f>
        <v>MERKEL - PETRACHI</v>
      </c>
      <c r="D11" s="10" t="str">
        <f>J13</f>
        <v>MOLET - TODOROVA</v>
      </c>
      <c r="E11" s="19" t="str">
        <f>J10</f>
        <v>MONTFORT - SCOCCO</v>
      </c>
      <c r="F11" s="14">
        <v>21</v>
      </c>
      <c r="G11" s="15">
        <v>6</v>
      </c>
      <c r="I11" s="7">
        <f>RANK(O11,O10:O13,0)</f>
        <v>2</v>
      </c>
      <c r="J11" s="10" t="str">
        <f>Entradas!G13</f>
        <v>MERKEL - PETRACHI</v>
      </c>
      <c r="K11" s="4">
        <f>(IF(F11&gt;G11,1,IF(F11&lt;G11,0,))+(IF(F13&gt;G13,1,IF(F13&lt;G13,0,))+(IF(G14&gt;F14,1,IF(G14&lt;F14,0,)))))</f>
        <v>2</v>
      </c>
      <c r="L11" s="4">
        <f>F11+F13+G14</f>
        <v>59</v>
      </c>
      <c r="M11" s="4">
        <f>G11+G13+F14</f>
        <v>38</v>
      </c>
      <c r="N11" s="20">
        <f>IFERROR(L11/M11,"Max")</f>
        <v>1.5526315789473684</v>
      </c>
      <c r="O11" s="20">
        <f>IF(N11="Max",400,(K11*100)+N11)</f>
        <v>201.55263157894737</v>
      </c>
      <c r="Q11" s="21">
        <v>2</v>
      </c>
      <c r="R11" s="7" t="str">
        <f>IF($K11+$K12+$K13+$K10=6,INDEX(J10:J13,MATCH($Q11,I10:I13,0)),"Pdte")</f>
        <v>MERKEL - PETRACHI</v>
      </c>
    </row>
    <row r="12" spans="1:18" ht="21.75" customHeight="1">
      <c r="A12" s="8">
        <f>A20+$O$1</f>
        <v>0.44444444444444442</v>
      </c>
      <c r="B12" s="4">
        <f>L4</f>
        <v>1</v>
      </c>
      <c r="C12" s="10" t="str">
        <f>J10</f>
        <v>MONTFORT - SCOCCO</v>
      </c>
      <c r="D12" s="10" t="str">
        <f>J13</f>
        <v>MOLET - TODOROVA</v>
      </c>
      <c r="E12" s="19" t="str">
        <f>J12</f>
        <v>VIDAL - DE FILIPPI</v>
      </c>
      <c r="F12" s="14">
        <v>21</v>
      </c>
      <c r="G12" s="15">
        <v>7</v>
      </c>
      <c r="I12" s="7">
        <f>RANK(O12,O10:O13,0)</f>
        <v>3</v>
      </c>
      <c r="J12" s="10" t="str">
        <f>Entradas!G14</f>
        <v>VIDAL - DE FILIPPI</v>
      </c>
      <c r="K12" s="4">
        <f>(IF(G10&gt;F10,1,IF(G10&lt;F10,0,))+(IF(G13&gt;F13,1,IF(G13&lt;F13,0,))+(IF(F15&gt;G15,1,IF(F15&lt;G15,0,)))))</f>
        <v>1</v>
      </c>
      <c r="L12" s="4">
        <f>G10+G13+F15</f>
        <v>43</v>
      </c>
      <c r="M12" s="4">
        <f>F10+F13+G15</f>
        <v>61</v>
      </c>
      <c r="N12" s="20">
        <f>IFERROR(L12/M12,"Max")</f>
        <v>0.70491803278688525</v>
      </c>
      <c r="O12" s="20">
        <f>IF(N12="Max",400,(K12*100)+N12)</f>
        <v>100.70491803278688</v>
      </c>
      <c r="Q12" s="21">
        <v>3</v>
      </c>
      <c r="R12" s="7" t="str">
        <f>IF($K12+$K13+$K10+$K11=6,INDEX(J10:J13,MATCH($Q12,I10:I13,0)),"Pdte")</f>
        <v>VIDAL - DE FILIPPI</v>
      </c>
    </row>
    <row r="13" spans="1:18" ht="21.75" customHeight="1">
      <c r="A13" s="8">
        <f>A21+O1</f>
        <v>0.47916666666666663</v>
      </c>
      <c r="B13" s="4">
        <f>L4</f>
        <v>1</v>
      </c>
      <c r="C13" s="10" t="str">
        <f>J11</f>
        <v>MERKEL - PETRACHI</v>
      </c>
      <c r="D13" s="10" t="str">
        <f>J12</f>
        <v>VIDAL - DE FILIPPI</v>
      </c>
      <c r="E13" s="19" t="str">
        <f>J10</f>
        <v>MONTFORT - SCOCCO</v>
      </c>
      <c r="F13" s="14">
        <v>21</v>
      </c>
      <c r="G13" s="15">
        <v>11</v>
      </c>
      <c r="I13" s="7">
        <f>RANK(O13,O10:O13,0)</f>
        <v>4</v>
      </c>
      <c r="J13" s="10" t="str">
        <f>Entradas!G25</f>
        <v>MOLET - TODOROVA</v>
      </c>
      <c r="K13" s="4">
        <f>(IF(G11&gt;F11,1,IF(G11&lt;F11,0,))+(IF(G12&gt;F12,1,IF(G12&lt;F12,0,))+(IF(G15&gt;F15,1,IF(G15&lt;F15,0,)))))</f>
        <v>0</v>
      </c>
      <c r="L13" s="4">
        <f>G11+G12+G15</f>
        <v>32</v>
      </c>
      <c r="M13" s="4">
        <f>F11+F12+F15</f>
        <v>63</v>
      </c>
      <c r="N13" s="20">
        <f>IFERROR(L13/M13,"Max")</f>
        <v>0.50793650793650791</v>
      </c>
      <c r="O13" s="20">
        <f>IF(N13="Max",400,(K13*100)+N13)</f>
        <v>0.50793650793650791</v>
      </c>
      <c r="Q13" s="21">
        <v>4</v>
      </c>
      <c r="R13" s="7" t="str">
        <f>IF($K10+$K11+$K12+$K13=6,INDEX(J10:J13,MATCH($Q13,I10:I13,0)),"Pdte")</f>
        <v>MOLET - TODOROVA</v>
      </c>
    </row>
    <row r="14" spans="1:18" ht="21.75" customHeight="1">
      <c r="A14" s="8">
        <f>A22+$O$1</f>
        <v>0.51388888888888884</v>
      </c>
      <c r="B14" s="4">
        <f>L4</f>
        <v>1</v>
      </c>
      <c r="C14" s="10" t="str">
        <f>J10</f>
        <v>MONTFORT - SCOCCO</v>
      </c>
      <c r="D14" s="10" t="str">
        <f>J11</f>
        <v>MERKEL - PETRACHI</v>
      </c>
      <c r="E14" s="19" t="str">
        <f>J13</f>
        <v>MOLET - TODOROVA</v>
      </c>
      <c r="F14" s="14">
        <v>21</v>
      </c>
      <c r="G14" s="15">
        <v>17</v>
      </c>
    </row>
    <row r="15" spans="1:18" ht="21.75" customHeight="1">
      <c r="A15" s="8">
        <f>A23+O1</f>
        <v>0.54861111111111116</v>
      </c>
      <c r="B15" s="4">
        <f>L4</f>
        <v>1</v>
      </c>
      <c r="C15" s="10" t="str">
        <f>J12</f>
        <v>VIDAL - DE FILIPPI</v>
      </c>
      <c r="D15" s="10" t="str">
        <f>J13</f>
        <v>MOLET - TODOROVA</v>
      </c>
      <c r="E15" s="19" t="str">
        <f>J11</f>
        <v>MERKEL - PETRACHI</v>
      </c>
      <c r="F15" s="14">
        <v>21</v>
      </c>
      <c r="G15" s="15">
        <v>19</v>
      </c>
    </row>
    <row r="16" spans="1:18" ht="21.75" customHeight="1"/>
    <row r="17" spans="1:18" ht="21.75" customHeight="1"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s="11" customFormat="1" ht="21.75" customHeight="1">
      <c r="A18" s="4" t="s">
        <v>2</v>
      </c>
      <c r="B18" s="4" t="s">
        <v>3</v>
      </c>
      <c r="C18" s="10" t="s">
        <v>4</v>
      </c>
      <c r="D18" s="10" t="s">
        <v>5</v>
      </c>
      <c r="E18" s="4" t="s">
        <v>14</v>
      </c>
      <c r="F18" s="10" t="s">
        <v>7</v>
      </c>
      <c r="G18" s="10" t="s">
        <v>7</v>
      </c>
      <c r="I18" s="7" t="s">
        <v>8</v>
      </c>
      <c r="J18" s="9" t="s">
        <v>56</v>
      </c>
      <c r="K18" s="4" t="s">
        <v>9</v>
      </c>
      <c r="L18" s="4" t="s">
        <v>10</v>
      </c>
      <c r="M18" s="4" t="s">
        <v>11</v>
      </c>
      <c r="N18" s="10" t="s">
        <v>12</v>
      </c>
      <c r="O18" s="10" t="s">
        <v>26</v>
      </c>
      <c r="P18"/>
      <c r="Q18" s="4" t="s">
        <v>13</v>
      </c>
      <c r="R18" s="4" t="str">
        <f>J18</f>
        <v>Grup 2 Matí</v>
      </c>
    </row>
    <row r="19" spans="1:18" s="11" customFormat="1" ht="21.75" customHeight="1">
      <c r="A19" s="8">
        <f>A10+$O$1</f>
        <v>0.3923611111111111</v>
      </c>
      <c r="B19" s="4">
        <f>L4</f>
        <v>1</v>
      </c>
      <c r="C19" s="10" t="str">
        <f>J19</f>
        <v>CAMPO - CARDONA</v>
      </c>
      <c r="D19" s="10" t="str">
        <f>J21</f>
        <v>MILKO - FERRER</v>
      </c>
      <c r="E19" s="19" t="str">
        <f>J20</f>
        <v>ANENTO - SELENT</v>
      </c>
      <c r="F19" s="14">
        <v>21</v>
      </c>
      <c r="G19" s="15">
        <v>7</v>
      </c>
      <c r="I19" s="7">
        <f>RANK(O19,O19:O22,0)</f>
        <v>2</v>
      </c>
      <c r="J19" s="10" t="str">
        <f>Entradas!G3</f>
        <v>CAMPO - CARDONA</v>
      </c>
      <c r="K19" s="4">
        <f>(IF(F19&gt;G19,1,IF(F19&lt;G19,0,))+(IF(F21&gt;G21,1,IF(F21&lt;G21,0,))+(IF(F23&gt;G23,1,IF(F23&lt;G23,0,)))))</f>
        <v>2</v>
      </c>
      <c r="L19" s="4">
        <f>F19+F21+F23</f>
        <v>60</v>
      </c>
      <c r="M19" s="4">
        <f>G19+G21+G23</f>
        <v>36</v>
      </c>
      <c r="N19" s="20">
        <f>IFERROR(L19/M19,"Max")</f>
        <v>1.6666666666666667</v>
      </c>
      <c r="O19" s="20">
        <f>IF(N19="Max",400,(K19*100)+N19)</f>
        <v>201.66666666666666</v>
      </c>
      <c r="P19"/>
      <c r="Q19" s="21">
        <v>1</v>
      </c>
      <c r="R19" s="7" t="str">
        <f>IF($K19+$K20+$K21+$K22=6,INDEX(J19:J22,MATCH($Q19,I19:I22,0)),"Pdte")</f>
        <v>ANENTO - SELENT</v>
      </c>
    </row>
    <row r="20" spans="1:18" s="11" customFormat="1" ht="21.75" customHeight="1">
      <c r="A20" s="8">
        <f>A11+$O$1</f>
        <v>0.42708333333333331</v>
      </c>
      <c r="B20" s="4">
        <f>L4</f>
        <v>1</v>
      </c>
      <c r="C20" s="10" t="str">
        <f>J20</f>
        <v>ANENTO - SELENT</v>
      </c>
      <c r="D20" s="10" t="str">
        <f>J22</f>
        <v>CAMA - SERRA</v>
      </c>
      <c r="E20" s="19" t="str">
        <f>J19</f>
        <v>CAMPO - CARDONA</v>
      </c>
      <c r="F20" s="14">
        <v>21</v>
      </c>
      <c r="G20" s="15">
        <v>7</v>
      </c>
      <c r="I20" s="7">
        <f>RANK(O20,O19:O22,0)</f>
        <v>1</v>
      </c>
      <c r="J20" s="10" t="str">
        <f>Entradas!G12</f>
        <v>ANENTO - SELENT</v>
      </c>
      <c r="K20" s="4">
        <f>(IF(F20&gt;G20,1,IF(F20&lt;G20,0,))+(IF(F22&gt;G22,1,IF(F22&lt;G22,0,))+(IF(G23&gt;F23,1,IF(G23&lt;F23,0,)))))</f>
        <v>3</v>
      </c>
      <c r="L20" s="4">
        <f>F20+F22+G23</f>
        <v>63</v>
      </c>
      <c r="M20" s="4">
        <f>G20+G22+F23</f>
        <v>41</v>
      </c>
      <c r="N20" s="20">
        <f>IFERROR(L20/M20,"Max")</f>
        <v>1.5365853658536586</v>
      </c>
      <c r="O20" s="20">
        <f>IF(N20="Max",400,(K20*100)+N20)</f>
        <v>301.53658536585368</v>
      </c>
      <c r="P20"/>
      <c r="Q20" s="21">
        <v>2</v>
      </c>
      <c r="R20" s="7" t="str">
        <f>IF($K20+$K21+$K22+$K19=6,INDEX(J19:J22,MATCH($Q20,I19:I22,0)),"Pdte")</f>
        <v>CAMPO - CARDONA</v>
      </c>
    </row>
    <row r="21" spans="1:18" s="11" customFormat="1" ht="21.75" customHeight="1">
      <c r="A21" s="8">
        <f>A12+$O$1</f>
        <v>0.46180555555555552</v>
      </c>
      <c r="B21" s="4">
        <f>L4</f>
        <v>1</v>
      </c>
      <c r="C21" s="10" t="str">
        <f>J19</f>
        <v>CAMPO - CARDONA</v>
      </c>
      <c r="D21" s="10" t="str">
        <f>J22</f>
        <v>CAMA - SERRA</v>
      </c>
      <c r="E21" s="19" t="str">
        <f>J21</f>
        <v>MILKO - FERRER</v>
      </c>
      <c r="F21" s="14">
        <v>21</v>
      </c>
      <c r="G21" s="15">
        <v>8</v>
      </c>
      <c r="I21" s="7">
        <f>RANK(O21,O19:O22,0)</f>
        <v>3</v>
      </c>
      <c r="J21" s="10" t="str">
        <f>Entradas!G15</f>
        <v>MILKO - FERRER</v>
      </c>
      <c r="K21" s="4">
        <f>(IF(G19&gt;F19,1,IF(G19&lt;F19,0,))+(IF(G22&gt;F22,1,IF(G22&lt;F22,0,))+(IF(F24&gt;G24,1,IF(F24&lt;G24,0,)))))</f>
        <v>1</v>
      </c>
      <c r="L21" s="4">
        <f>G19+G22+F24</f>
        <v>44</v>
      </c>
      <c r="M21" s="4">
        <f>F19+F22+G24</f>
        <v>57</v>
      </c>
      <c r="N21" s="20">
        <f>IFERROR(L21/M21,"Max")</f>
        <v>0.77192982456140347</v>
      </c>
      <c r="O21" s="20">
        <f>IF(N21="Max",400,(K21*100)+N21)</f>
        <v>100.7719298245614</v>
      </c>
      <c r="P21"/>
      <c r="Q21" s="21">
        <v>3</v>
      </c>
      <c r="R21" s="7" t="str">
        <f>IF($K21+$K22+$K19+$K20=6,INDEX(J19:J22,MATCH($Q21,I19:I22,0)),"Pdte")</f>
        <v>MILKO - FERRER</v>
      </c>
    </row>
    <row r="22" spans="1:18" s="11" customFormat="1" ht="21.75" customHeight="1">
      <c r="A22" s="8">
        <f>A13+O1</f>
        <v>0.49652777777777773</v>
      </c>
      <c r="B22" s="4">
        <f>L4</f>
        <v>1</v>
      </c>
      <c r="C22" s="10" t="str">
        <f>J20</f>
        <v>ANENTO - SELENT</v>
      </c>
      <c r="D22" s="10" t="str">
        <f>J21</f>
        <v>MILKO - FERRER</v>
      </c>
      <c r="E22" s="19" t="str">
        <f>J22</f>
        <v>CAMA - SERRA</v>
      </c>
      <c r="F22" s="14">
        <v>21</v>
      </c>
      <c r="G22" s="15">
        <v>16</v>
      </c>
      <c r="I22" s="7">
        <f>RANK(O22,O19:O22,0)</f>
        <v>4</v>
      </c>
      <c r="J22" s="10" t="str">
        <f>Entradas!G24</f>
        <v>CAMA - SERRA</v>
      </c>
      <c r="K22" s="4">
        <f>(IF(G20&gt;F20,1,IF(G20&lt;F20,0,))+(IF(G21&gt;F21,1,IF(G21&lt;F21,0,))+(IF(G24&gt;F24,1,IF(G24&lt;F24,0,)))))</f>
        <v>0</v>
      </c>
      <c r="L22" s="4">
        <f>G20+G21+G24</f>
        <v>30</v>
      </c>
      <c r="M22" s="4">
        <f>F20+F21+F24</f>
        <v>63</v>
      </c>
      <c r="N22" s="20">
        <f>IFERROR(L22/M22,"Max")</f>
        <v>0.47619047619047616</v>
      </c>
      <c r="O22" s="20">
        <f>IF(N22="Max",400,(K22*100)+N22)</f>
        <v>0.47619047619047616</v>
      </c>
      <c r="P22"/>
      <c r="Q22" s="21">
        <v>4</v>
      </c>
      <c r="R22" s="7" t="str">
        <f>IF($K19+$K20+$K21+$K22=6,INDEX(J19:J22,MATCH($Q22,I19:I22,0)),"Pdte")</f>
        <v>CAMA - SERRA</v>
      </c>
    </row>
    <row r="23" spans="1:18" s="11" customFormat="1" ht="21.75" customHeight="1">
      <c r="A23" s="8">
        <f>A14+$O$1</f>
        <v>0.53125</v>
      </c>
      <c r="B23" s="4">
        <f>L4</f>
        <v>1</v>
      </c>
      <c r="C23" s="10" t="str">
        <f>J19</f>
        <v>CAMPO - CARDONA</v>
      </c>
      <c r="D23" s="10" t="str">
        <f>J20</f>
        <v>ANENTO - SELENT</v>
      </c>
      <c r="E23" s="19" t="str">
        <f>J21</f>
        <v>MILKO - FERRER</v>
      </c>
      <c r="F23" s="14">
        <v>18</v>
      </c>
      <c r="G23" s="15">
        <v>21</v>
      </c>
    </row>
    <row r="24" spans="1:18" s="11" customFormat="1" ht="21.75" customHeight="1">
      <c r="A24" s="8">
        <f>A15+O1</f>
        <v>0.56597222222222232</v>
      </c>
      <c r="B24" s="4">
        <f>L4</f>
        <v>1</v>
      </c>
      <c r="C24" s="10" t="str">
        <f>J21</f>
        <v>MILKO - FERRER</v>
      </c>
      <c r="D24" s="10" t="str">
        <f>J22</f>
        <v>CAMA - SERRA</v>
      </c>
      <c r="E24" s="19" t="str">
        <f>J19</f>
        <v>CAMPO - CARDONA</v>
      </c>
      <c r="F24" s="14">
        <v>21</v>
      </c>
      <c r="G24" s="15">
        <v>15</v>
      </c>
      <c r="I24"/>
      <c r="J24"/>
      <c r="K24"/>
      <c r="L24"/>
      <c r="M24"/>
      <c r="N24"/>
      <c r="O24"/>
      <c r="P24"/>
      <c r="Q24"/>
      <c r="R24"/>
    </row>
    <row r="25" spans="1:18" ht="21.75" customHeight="1"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s="11" customFormat="1" ht="21.75" customHeight="1">
      <c r="A26" s="4" t="s">
        <v>2</v>
      </c>
      <c r="B26" s="4" t="s">
        <v>3</v>
      </c>
      <c r="C26" s="10" t="s">
        <v>4</v>
      </c>
      <c r="D26" s="10" t="s">
        <v>5</v>
      </c>
      <c r="E26" s="4" t="s">
        <v>14</v>
      </c>
      <c r="F26" s="10" t="s">
        <v>7</v>
      </c>
      <c r="G26" s="10" t="s">
        <v>7</v>
      </c>
      <c r="I26" s="7" t="s">
        <v>8</v>
      </c>
      <c r="J26" s="9" t="s">
        <v>57</v>
      </c>
      <c r="K26" s="4" t="s">
        <v>9</v>
      </c>
      <c r="L26" s="4" t="s">
        <v>10</v>
      </c>
      <c r="M26" s="4" t="s">
        <v>11</v>
      </c>
      <c r="N26" s="10" t="s">
        <v>12</v>
      </c>
      <c r="O26" s="10" t="s">
        <v>26</v>
      </c>
      <c r="P26"/>
      <c r="Q26" s="4" t="s">
        <v>13</v>
      </c>
      <c r="R26" s="4" t="str">
        <f>J26</f>
        <v>Grup 3 Matí</v>
      </c>
    </row>
    <row r="27" spans="1:18" s="11" customFormat="1" ht="21.75" customHeight="1">
      <c r="A27" s="8">
        <f>L1</f>
        <v>0.375</v>
      </c>
      <c r="B27" s="4">
        <v>5</v>
      </c>
      <c r="C27" s="10" t="str">
        <f>J27</f>
        <v>PEINADOR - VELEZ</v>
      </c>
      <c r="D27" s="10" t="str">
        <f>J29</f>
        <v>ROIG - CALLEJO</v>
      </c>
      <c r="E27" s="19" t="str">
        <f>J28</f>
        <v>SANCHEZ - SANCHEZ</v>
      </c>
      <c r="F27" s="14">
        <v>21</v>
      </c>
      <c r="G27" s="15">
        <v>4</v>
      </c>
      <c r="I27" s="7">
        <f>RANK(O27,O27:O30,0)</f>
        <v>2</v>
      </c>
      <c r="J27" s="10" t="str">
        <f>Entradas!G4</f>
        <v>PEINADOR - VELEZ</v>
      </c>
      <c r="K27" s="4">
        <f>(IF(F27&gt;G27,1,IF(F27&lt;G27,0,))+(IF(F29&gt;G29,1,IF(F29&lt;G29,0,))+(IF(F31&gt;G31,1,IF(F31&lt;G31,0,)))))</f>
        <v>2</v>
      </c>
      <c r="L27" s="4">
        <f>F27+F29+F31</f>
        <v>59</v>
      </c>
      <c r="M27" s="4">
        <f>G27+G29+G31</f>
        <v>34</v>
      </c>
      <c r="N27" s="20">
        <f>IFERROR(L27/M27,"Max")</f>
        <v>1.7352941176470589</v>
      </c>
      <c r="O27" s="20">
        <f>IF(N27="Max",400,(K27*100)+N27)</f>
        <v>201.73529411764707</v>
      </c>
      <c r="P27"/>
      <c r="Q27" s="21">
        <v>1</v>
      </c>
      <c r="R27" s="7" t="str">
        <f>IF($K27+$K28+$K29+$K30=6,INDEX(J27:J30,MATCH($Q27,I27:I30,0)),"Pdte")</f>
        <v>SANCHEZ - SANCHEZ</v>
      </c>
    </row>
    <row r="28" spans="1:18" s="11" customFormat="1" ht="21.75" customHeight="1">
      <c r="A28" s="8">
        <f>A35+$O$1</f>
        <v>0.40972222222222221</v>
      </c>
      <c r="B28" s="4">
        <v>5</v>
      </c>
      <c r="C28" s="10" t="str">
        <f>J28</f>
        <v>SANCHEZ - SANCHEZ</v>
      </c>
      <c r="D28" s="10" t="str">
        <f>J30</f>
        <v>DE LERA - GUSPI</v>
      </c>
      <c r="E28" s="19" t="str">
        <f>J27</f>
        <v>PEINADOR - VELEZ</v>
      </c>
      <c r="F28" s="14">
        <v>21</v>
      </c>
      <c r="G28" s="15">
        <v>18</v>
      </c>
      <c r="I28" s="7">
        <f>RANK(O28,O27:O30,0)</f>
        <v>1</v>
      </c>
      <c r="J28" s="10" t="str">
        <f>Entradas!G11</f>
        <v>SANCHEZ - SANCHEZ</v>
      </c>
      <c r="K28" s="4">
        <f>(IF(F28&gt;G28,1,IF(F28&lt;G28,0,))+(IF(F30&gt;G30,1,IF(F30&lt;G30,0,))+(IF(G31&gt;F31,1,IF(G31&lt;F31,0,)))))</f>
        <v>3</v>
      </c>
      <c r="L28" s="4">
        <f>F28+F30+G31</f>
        <v>63</v>
      </c>
      <c r="M28" s="4">
        <f>G28+G30+F31</f>
        <v>50</v>
      </c>
      <c r="N28" s="20">
        <f>IFERROR(L28/M28,"Max")</f>
        <v>1.26</v>
      </c>
      <c r="O28" s="20">
        <f>IF(N28="Max",400,(K28*100)+N28)</f>
        <v>301.26</v>
      </c>
      <c r="P28"/>
      <c r="Q28" s="21">
        <v>2</v>
      </c>
      <c r="R28" s="7" t="str">
        <f>IF($K28+$K29+$K30+$K27=6,INDEX(J27:J30,MATCH($Q28,I27:I30,0)),"Pdte")</f>
        <v>PEINADOR - VELEZ</v>
      </c>
    </row>
    <row r="29" spans="1:18" s="11" customFormat="1" ht="21.75" customHeight="1">
      <c r="A29" s="8">
        <f>A36+$O$1</f>
        <v>0.44444444444444442</v>
      </c>
      <c r="B29" s="4">
        <v>5</v>
      </c>
      <c r="C29" s="10" t="str">
        <f>J27</f>
        <v>PEINADOR - VELEZ</v>
      </c>
      <c r="D29" s="10" t="str">
        <f>J30</f>
        <v>DE LERA - GUSPI</v>
      </c>
      <c r="E29" s="19" t="str">
        <f>J29</f>
        <v>ROIG - CALLEJO</v>
      </c>
      <c r="F29" s="14">
        <v>21</v>
      </c>
      <c r="G29" s="15">
        <v>9</v>
      </c>
      <c r="I29" s="7">
        <f>RANK(O29,O27:O30,0)</f>
        <v>4</v>
      </c>
      <c r="J29" s="10" t="str">
        <f>Entradas!G16</f>
        <v>ROIG - CALLEJO</v>
      </c>
      <c r="K29" s="4">
        <f>(IF(G27&gt;F27,1,IF(G27&lt;F27,0,))+(IF(G30&gt;F30,1,IF(G30&lt;F30,0,))+(IF(F32&gt;G32,1,IF(F32&lt;G32,0,)))))</f>
        <v>0</v>
      </c>
      <c r="L29" s="4">
        <f>G27+G30+F32</f>
        <v>39</v>
      </c>
      <c r="M29" s="4">
        <f>F27+F30+G32</f>
        <v>64</v>
      </c>
      <c r="N29" s="20">
        <f>IFERROR(L29/M29,"Max")</f>
        <v>0.609375</v>
      </c>
      <c r="O29" s="20">
        <f>IF(N29="Max",400,(K29*100)+N29)</f>
        <v>0.609375</v>
      </c>
      <c r="P29"/>
      <c r="Q29" s="21">
        <v>3</v>
      </c>
      <c r="R29" s="7" t="str">
        <f>IF($K29+$K30+$K27+$K28=6,INDEX(J27:J30,MATCH($Q29,I27:I30,0)),"Pdte")</f>
        <v>DE LERA - GUSPI</v>
      </c>
    </row>
    <row r="30" spans="1:18" s="11" customFormat="1" ht="21.75" customHeight="1">
      <c r="A30" s="8">
        <f>A37+O1</f>
        <v>0.47916666666666663</v>
      </c>
      <c r="B30" s="4">
        <v>5</v>
      </c>
      <c r="C30" s="10" t="str">
        <f>J28</f>
        <v>SANCHEZ - SANCHEZ</v>
      </c>
      <c r="D30" s="10" t="str">
        <f>J29</f>
        <v>ROIG - CALLEJO</v>
      </c>
      <c r="E30" s="19" t="str">
        <f>J30</f>
        <v>DE LERA - GUSPI</v>
      </c>
      <c r="F30" s="14">
        <v>21</v>
      </c>
      <c r="G30" s="15">
        <v>15</v>
      </c>
      <c r="I30" s="7">
        <f>RANK(O30,O27:O30,0)</f>
        <v>3</v>
      </c>
      <c r="J30" s="10" t="str">
        <f>Entradas!G23</f>
        <v>DE LERA - GUSPI</v>
      </c>
      <c r="K30" s="4">
        <f>(IF(G28&gt;F28,1,IF(G28&lt;F28,0,))+(IF(G29&gt;F29,1,IF(G29&lt;F29,0,))+(IF(G32&gt;F32,1,IF(G32&lt;F32,0,)))))</f>
        <v>1</v>
      </c>
      <c r="L30" s="4">
        <f>G28+G29+G32</f>
        <v>49</v>
      </c>
      <c r="M30" s="4">
        <f>F28+F29+F32</f>
        <v>62</v>
      </c>
      <c r="N30" s="20">
        <f>IFERROR(L30/M30,"Max")</f>
        <v>0.79032258064516125</v>
      </c>
      <c r="O30" s="20">
        <f>IF(N30="Max",400,(K30*100)+N30)</f>
        <v>100.79032258064517</v>
      </c>
      <c r="P30"/>
      <c r="Q30" s="21">
        <v>4</v>
      </c>
      <c r="R30" s="7" t="str">
        <f>IF($K27+$K28+$K29+$K30=6,INDEX(J27:J30,MATCH($Q30,I27:I30,0)),"Pdte")</f>
        <v>ROIG - CALLEJO</v>
      </c>
    </row>
    <row r="31" spans="1:18" s="11" customFormat="1" ht="21.75" customHeight="1">
      <c r="A31" s="8">
        <f>A38+$O$1</f>
        <v>0.51388888888888884</v>
      </c>
      <c r="B31" s="4">
        <v>5</v>
      </c>
      <c r="C31" s="10" t="str">
        <f>J27</f>
        <v>PEINADOR - VELEZ</v>
      </c>
      <c r="D31" s="10" t="str">
        <f>J28</f>
        <v>SANCHEZ - SANCHEZ</v>
      </c>
      <c r="E31" s="19" t="str">
        <f>J29</f>
        <v>ROIG - CALLEJO</v>
      </c>
      <c r="F31" s="14">
        <v>17</v>
      </c>
      <c r="G31" s="15">
        <v>21</v>
      </c>
    </row>
    <row r="32" spans="1:18" s="11" customFormat="1" ht="21.75" customHeight="1">
      <c r="A32" s="8">
        <f>A39+O1</f>
        <v>0.54861111111111116</v>
      </c>
      <c r="B32" s="4">
        <v>5</v>
      </c>
      <c r="C32" s="10" t="str">
        <f>J29</f>
        <v>ROIG - CALLEJO</v>
      </c>
      <c r="D32" s="10" t="str">
        <f>J30</f>
        <v>DE LERA - GUSPI</v>
      </c>
      <c r="E32" s="19" t="str">
        <f>J27</f>
        <v>PEINADOR - VELEZ</v>
      </c>
      <c r="F32" s="14">
        <v>20</v>
      </c>
      <c r="G32" s="15">
        <v>22</v>
      </c>
      <c r="I32"/>
      <c r="J32"/>
      <c r="K32"/>
      <c r="L32"/>
      <c r="M32"/>
      <c r="N32"/>
      <c r="O32"/>
      <c r="P32"/>
      <c r="Q32"/>
      <c r="R32"/>
    </row>
    <row r="33" spans="1:18" ht="21.75" customHeight="1"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s="11" customFormat="1" ht="21.75" customHeight="1">
      <c r="A34" s="4" t="s">
        <v>2</v>
      </c>
      <c r="B34" s="4" t="s">
        <v>3</v>
      </c>
      <c r="C34" s="10" t="s">
        <v>4</v>
      </c>
      <c r="D34" s="10" t="s">
        <v>5</v>
      </c>
      <c r="E34" s="4" t="s">
        <v>6</v>
      </c>
      <c r="F34" s="10" t="s">
        <v>22</v>
      </c>
      <c r="G34" s="10" t="s">
        <v>7</v>
      </c>
      <c r="I34" s="7" t="s">
        <v>8</v>
      </c>
      <c r="J34" s="9" t="s">
        <v>58</v>
      </c>
      <c r="K34" s="4" t="s">
        <v>9</v>
      </c>
      <c r="L34" s="4" t="s">
        <v>10</v>
      </c>
      <c r="M34" s="4" t="s">
        <v>11</v>
      </c>
      <c r="N34" s="10" t="s">
        <v>12</v>
      </c>
      <c r="O34" s="10" t="s">
        <v>24</v>
      </c>
      <c r="P34"/>
      <c r="Q34" s="4" t="s">
        <v>13</v>
      </c>
      <c r="R34" s="4" t="str">
        <f>J34</f>
        <v>Grup 4 Matí</v>
      </c>
    </row>
    <row r="35" spans="1:18" ht="21.75" customHeight="1">
      <c r="A35" s="8">
        <f>A27+$O$1</f>
        <v>0.3923611111111111</v>
      </c>
      <c r="B35" s="4">
        <v>5</v>
      </c>
      <c r="C35" s="10" t="str">
        <f>J35</f>
        <v>PALLARES - GARCIA</v>
      </c>
      <c r="D35" s="10" t="str">
        <f>J37</f>
        <v>AGUILO - CLANCHET</v>
      </c>
      <c r="E35" s="19" t="str">
        <f>J36</f>
        <v>CLARAMUNT - ANTON</v>
      </c>
      <c r="F35" s="14">
        <v>21</v>
      </c>
      <c r="G35" s="15">
        <v>9</v>
      </c>
      <c r="I35" s="7">
        <f>RANK(O35,O35:O38,0)</f>
        <v>1</v>
      </c>
      <c r="J35" s="10" t="str">
        <f>Entradas!G5</f>
        <v>PALLARES - GARCIA</v>
      </c>
      <c r="K35" s="4">
        <f>(IF(F35&gt;G35,1,IF(F35&lt;G35,0,))+(IF(F37&gt;G37,1,IF(F37&lt;G37,0,))+(IF(F39&gt;G39,1,IF(F39&lt;G39,0,)))))</f>
        <v>2</v>
      </c>
      <c r="L35" s="4">
        <f>F35+F37+F39</f>
        <v>60</v>
      </c>
      <c r="M35" s="4">
        <f>G35+G37+G39</f>
        <v>43</v>
      </c>
      <c r="N35" s="20">
        <f>IFERROR(L35/M35,"Max")</f>
        <v>1.3953488372093024</v>
      </c>
      <c r="O35" s="20">
        <f>IF(N35="Max",400,(K35*100)+N35)</f>
        <v>201.3953488372093</v>
      </c>
      <c r="Q35" s="21">
        <v>1</v>
      </c>
      <c r="R35" s="7" t="str">
        <f>IF($K35+$K36+$K37+$K38=6,INDEX(J35:J38,MATCH($Q35,I35:I38,0)),"Pdte")</f>
        <v>PALLARES - GARCIA</v>
      </c>
    </row>
    <row r="36" spans="1:18" ht="21.75" customHeight="1">
      <c r="A36" s="8">
        <f>A28+$O$1</f>
        <v>0.42708333333333331</v>
      </c>
      <c r="B36" s="4">
        <v>5</v>
      </c>
      <c r="C36" s="10" t="str">
        <f>J36</f>
        <v>CLARAMUNT - ANTON</v>
      </c>
      <c r="D36" s="10" t="str">
        <f>J38</f>
        <v>ESCURA - SANCHEZ</v>
      </c>
      <c r="E36" s="19" t="str">
        <f>J35</f>
        <v>PALLARES - GARCIA</v>
      </c>
      <c r="F36" s="14">
        <v>23</v>
      </c>
      <c r="G36" s="15">
        <v>21</v>
      </c>
      <c r="I36" s="7">
        <f>RANK(O36,O35:O38,0)</f>
        <v>2</v>
      </c>
      <c r="J36" s="10" t="str">
        <f>Entradas!G10</f>
        <v>CLARAMUNT - ANTON</v>
      </c>
      <c r="K36" s="4">
        <f>(IF(F36&gt;G36,1,IF(F36&lt;G36,0,))+(IF(F38&gt;G38,1,IF(F38&lt;G38,0,))+(IF(G39&gt;F39,1,IF(G39&lt;F39,0,)))))</f>
        <v>2</v>
      </c>
      <c r="L36" s="4">
        <f>F36+F38+G39</f>
        <v>52</v>
      </c>
      <c r="M36" s="4">
        <f>G36+G38+F39</f>
        <v>60</v>
      </c>
      <c r="N36" s="20">
        <f>IFERROR(L36/M36,"Max")</f>
        <v>0.8666666666666667</v>
      </c>
      <c r="O36" s="20">
        <f>IF(N36="Max",400,(K36*100)+N36)</f>
        <v>200.86666666666667</v>
      </c>
      <c r="Q36" s="21">
        <v>2</v>
      </c>
      <c r="R36" s="7" t="str">
        <f>IF($K36+$K37+$K38+$K35=6,INDEX(J35:J38,MATCH($Q36,I35:I38,0)),"Pdte")</f>
        <v>CLARAMUNT - ANTON</v>
      </c>
    </row>
    <row r="37" spans="1:18" ht="21.75" customHeight="1">
      <c r="A37" s="8">
        <f>A29+$O$1</f>
        <v>0.46180555555555552</v>
      </c>
      <c r="B37" s="4">
        <v>5</v>
      </c>
      <c r="C37" s="10" t="str">
        <f>J35</f>
        <v>PALLARES - GARCIA</v>
      </c>
      <c r="D37" s="10" t="str">
        <f>J38</f>
        <v>ESCURA - SANCHEZ</v>
      </c>
      <c r="E37" s="19" t="str">
        <f>J37</f>
        <v>AGUILO - CLANCHET</v>
      </c>
      <c r="F37" s="14">
        <v>21</v>
      </c>
      <c r="G37" s="15">
        <v>13</v>
      </c>
      <c r="I37" s="7">
        <f>RANK(O37,O35:O38,0)</f>
        <v>4</v>
      </c>
      <c r="J37" s="10" t="str">
        <f>Entradas!G17</f>
        <v>AGUILO - CLANCHET</v>
      </c>
      <c r="K37" s="4">
        <f>(IF(G35&gt;F35,1,IF(G35&lt;F35,0,))+(IF(G38&gt;F38,1,IF(G38&lt;F38,0,))+(IF(F40&gt;G40,1,IF(F40&lt;G40,0,)))))</f>
        <v>1</v>
      </c>
      <c r="L37" s="4">
        <f>G35+G38+F40</f>
        <v>43</v>
      </c>
      <c r="M37" s="4">
        <f>F35+F38+G40</f>
        <v>50</v>
      </c>
      <c r="N37" s="20">
        <f>IFERROR(L37/M37,"Max")</f>
        <v>0.86</v>
      </c>
      <c r="O37" s="20">
        <f>IF(N37="Max",400,(K37*100)+N37)</f>
        <v>100.86</v>
      </c>
      <c r="Q37" s="21">
        <v>3</v>
      </c>
      <c r="R37" s="7" t="str">
        <f>IF($K37+$K38+$K35+$K36=6,INDEX(J35:J38,MATCH($Q37,I35:I38,0)),"Pdte")</f>
        <v>ESCURA - SANCHEZ</v>
      </c>
    </row>
    <row r="38" spans="1:18" ht="21.75" customHeight="1">
      <c r="A38" s="8">
        <f>A30+O1</f>
        <v>0.49652777777777773</v>
      </c>
      <c r="B38" s="4">
        <v>5</v>
      </c>
      <c r="C38" s="10" t="str">
        <f>J36</f>
        <v>CLARAMUNT - ANTON</v>
      </c>
      <c r="D38" s="10" t="str">
        <f>J37</f>
        <v>AGUILO - CLANCHET</v>
      </c>
      <c r="E38" s="19" t="str">
        <f>J35</f>
        <v>PALLARES - GARCIA</v>
      </c>
      <c r="F38" s="14">
        <v>8</v>
      </c>
      <c r="G38" s="15">
        <v>21</v>
      </c>
      <c r="I38" s="7">
        <f>RANK(O38,O35:O38,0)</f>
        <v>3</v>
      </c>
      <c r="J38" s="10" t="str">
        <f>Entradas!G22</f>
        <v>ESCURA - SANCHEZ</v>
      </c>
      <c r="K38" s="4">
        <f>(IF(G36&gt;F36,1,IF(G36&lt;F36,0,))+(IF(G37&gt;F37,1,IF(G37&lt;F37,0,))+(IF(G40&gt;F40,1,IF(G40&lt;F40,0,)))))</f>
        <v>1</v>
      </c>
      <c r="L38" s="4">
        <f>G36+G37+G40</f>
        <v>55</v>
      </c>
      <c r="M38" s="4">
        <f>F36+F37+F40</f>
        <v>57</v>
      </c>
      <c r="N38" s="20">
        <f>IFERROR(L38/M38,"Max")</f>
        <v>0.96491228070175439</v>
      </c>
      <c r="O38" s="20">
        <f>IF(N38="Max",400,(K38*100)+N38)</f>
        <v>100.96491228070175</v>
      </c>
      <c r="Q38" s="21">
        <v>4</v>
      </c>
      <c r="R38" s="7" t="str">
        <f>IF($K35+$K36+$K37+$K38=6,INDEX(J35:J38,MATCH($Q38,I35:I38,0)),"Pdte")</f>
        <v>AGUILO - CLANCHET</v>
      </c>
    </row>
    <row r="39" spans="1:18" ht="21.75" customHeight="1">
      <c r="A39" s="8">
        <f>A31+$O$1</f>
        <v>0.53125</v>
      </c>
      <c r="B39" s="4">
        <v>5</v>
      </c>
      <c r="C39" s="10" t="str">
        <f>J35</f>
        <v>PALLARES - GARCIA</v>
      </c>
      <c r="D39" s="10" t="str">
        <f>J36</f>
        <v>CLARAMUNT - ANTON</v>
      </c>
      <c r="E39" s="19" t="str">
        <f>J38</f>
        <v>ESCURA - SANCHEZ</v>
      </c>
      <c r="F39" s="14">
        <v>18</v>
      </c>
      <c r="G39" s="15">
        <v>21</v>
      </c>
    </row>
    <row r="40" spans="1:18" ht="21.75" customHeight="1">
      <c r="A40" s="8">
        <f>A32+O1</f>
        <v>0.56597222222222232</v>
      </c>
      <c r="B40" s="4">
        <v>5</v>
      </c>
      <c r="C40" s="10" t="str">
        <f>J37</f>
        <v>AGUILO - CLANCHET</v>
      </c>
      <c r="D40" s="10" t="str">
        <f>J38</f>
        <v>ESCURA - SANCHEZ</v>
      </c>
      <c r="E40" s="19" t="str">
        <f>J36</f>
        <v>CLARAMUNT - ANTON</v>
      </c>
      <c r="F40" s="14">
        <v>13</v>
      </c>
      <c r="G40" s="15">
        <v>21</v>
      </c>
    </row>
    <row r="41" spans="1:18" ht="21.75" customHeight="1"/>
    <row r="42" spans="1:18" ht="21.75" customHeight="1"/>
    <row r="43" spans="1:18" s="11" customFormat="1" ht="21.75" customHeight="1">
      <c r="A43" s="4" t="s">
        <v>2</v>
      </c>
      <c r="B43" s="4" t="s">
        <v>3</v>
      </c>
      <c r="C43" s="10" t="s">
        <v>4</v>
      </c>
      <c r="D43" s="10" t="s">
        <v>5</v>
      </c>
      <c r="E43" s="4" t="s">
        <v>14</v>
      </c>
      <c r="F43" s="10" t="s">
        <v>7</v>
      </c>
      <c r="G43" s="10" t="s">
        <v>7</v>
      </c>
      <c r="I43" s="7" t="s">
        <v>8</v>
      </c>
      <c r="J43" s="9" t="s">
        <v>59</v>
      </c>
      <c r="K43" s="4" t="s">
        <v>9</v>
      </c>
      <c r="L43" s="4" t="s">
        <v>10</v>
      </c>
      <c r="M43" s="4" t="s">
        <v>11</v>
      </c>
      <c r="N43" s="10" t="s">
        <v>12</v>
      </c>
      <c r="O43" s="10" t="s">
        <v>26</v>
      </c>
      <c r="P43"/>
      <c r="Q43" s="4" t="s">
        <v>13</v>
      </c>
      <c r="R43" s="4" t="str">
        <f>J43</f>
        <v>Grup 5 Matí</v>
      </c>
    </row>
    <row r="44" spans="1:18" s="11" customFormat="1" ht="21.75" customHeight="1">
      <c r="A44" s="8">
        <f>L1</f>
        <v>0.375</v>
      </c>
      <c r="B44" s="4">
        <f>M4</f>
        <v>3</v>
      </c>
      <c r="C44" s="10" t="str">
        <f>J44</f>
        <v>MARTINEZ - GARCIA</v>
      </c>
      <c r="D44" s="10" t="str">
        <f>J46</f>
        <v>NEWSOME - CUEVAS</v>
      </c>
      <c r="E44" s="19" t="str">
        <f>J45</f>
        <v>GRIMA - BALASCH</v>
      </c>
      <c r="F44" s="14">
        <v>21</v>
      </c>
      <c r="G44" s="15">
        <v>10</v>
      </c>
      <c r="I44" s="7">
        <f>RANK(O44,O44:O47,0)</f>
        <v>2</v>
      </c>
      <c r="J44" s="10" t="str">
        <f>Entradas!G6</f>
        <v>MARTINEZ - GARCIA</v>
      </c>
      <c r="K44" s="4">
        <f>(IF(F44&gt;G44,1,IF(F44&lt;G44,0,))+(IF(F46&gt;G46,1,IF(F46&lt;G46,0,))+(IF(F48&gt;G48,1,IF(F48&lt;G48,0,)))))</f>
        <v>2</v>
      </c>
      <c r="L44" s="4">
        <f>F44+F46+F48</f>
        <v>57</v>
      </c>
      <c r="M44" s="4">
        <f>G44+G46+G48</f>
        <v>48</v>
      </c>
      <c r="N44" s="20">
        <f>IFERROR(L44/M44,"Max")</f>
        <v>1.1875</v>
      </c>
      <c r="O44" s="20">
        <f>IF(N44="Max",400,(K44*100)+N44)</f>
        <v>201.1875</v>
      </c>
      <c r="P44"/>
      <c r="Q44" s="21">
        <v>1</v>
      </c>
      <c r="R44" s="7" t="str">
        <f>IF($K44+$K45+$K46+$K47=6,INDEX(J44:J47,MATCH($Q44,I44:I47,0)),"Pdte")</f>
        <v>GRIMA - BALASCH</v>
      </c>
    </row>
    <row r="45" spans="1:18" s="11" customFormat="1" ht="21.75" customHeight="1">
      <c r="A45" s="8">
        <f>A52+$O$1</f>
        <v>0.40972222222222221</v>
      </c>
      <c r="B45" s="4">
        <f>M4</f>
        <v>3</v>
      </c>
      <c r="C45" s="10" t="str">
        <f>J45</f>
        <v>GRIMA - BALASCH</v>
      </c>
      <c r="D45" s="10" t="str">
        <f>J47</f>
        <v>BELMONTE - GRACIA</v>
      </c>
      <c r="E45" s="19" t="str">
        <f>J44</f>
        <v>MARTINEZ - GARCIA</v>
      </c>
      <c r="F45" s="14">
        <v>21</v>
      </c>
      <c r="G45" s="15">
        <v>7</v>
      </c>
      <c r="I45" s="7">
        <f>RANK(O45,O44:O47,0)</f>
        <v>1</v>
      </c>
      <c r="J45" s="10" t="str">
        <f>Entradas!G9</f>
        <v>GRIMA - BALASCH</v>
      </c>
      <c r="K45" s="4">
        <f>(IF(F45&gt;G45,1,IF(F45&lt;G45,0,))+(IF(F47&gt;G47,1,IF(F47&lt;G47,0,))+(IF(G48&gt;F48,1,IF(G48&lt;F48,0,)))))</f>
        <v>3</v>
      </c>
      <c r="L45" s="4">
        <f>F45+F47+G48</f>
        <v>65</v>
      </c>
      <c r="M45" s="4">
        <f>G45+G47+F48</f>
        <v>43</v>
      </c>
      <c r="N45" s="20">
        <f>IFERROR(L45/M45,"Max")</f>
        <v>1.5116279069767442</v>
      </c>
      <c r="O45" s="20">
        <f>IF(N45="Max",400,(K45*100)+N45)</f>
        <v>301.51162790697674</v>
      </c>
      <c r="P45"/>
      <c r="Q45" s="21">
        <v>2</v>
      </c>
      <c r="R45" s="7" t="str">
        <f>IF($K45+$K46+$K47+$K44=6,INDEX(J44:J47,MATCH($Q45,I44:I47,0)),"Pdte")</f>
        <v>MARTINEZ - GARCIA</v>
      </c>
    </row>
    <row r="46" spans="1:18" s="11" customFormat="1" ht="21.75" customHeight="1">
      <c r="A46" s="8">
        <f>A53+$O$1</f>
        <v>0.44444444444444442</v>
      </c>
      <c r="B46" s="4">
        <f>M4</f>
        <v>3</v>
      </c>
      <c r="C46" s="10" t="str">
        <f>J44</f>
        <v>MARTINEZ - GARCIA</v>
      </c>
      <c r="D46" s="10" t="str">
        <f>J47</f>
        <v>BELMONTE - GRACIA</v>
      </c>
      <c r="E46" s="19" t="str">
        <f>J46</f>
        <v>NEWSOME - CUEVAS</v>
      </c>
      <c r="F46" s="14">
        <v>21</v>
      </c>
      <c r="G46" s="15">
        <v>17</v>
      </c>
      <c r="I46" s="7">
        <f>RANK(O46,O44:O47,0)</f>
        <v>4</v>
      </c>
      <c r="J46" s="10" t="str">
        <f>Entradas!G18</f>
        <v>NEWSOME - CUEVAS</v>
      </c>
      <c r="K46" s="4">
        <f>(IF(G44&gt;F44,1,IF(G44&lt;F44,0,))+(IF(G47&gt;F47,1,IF(G47&lt;F47,0,))+(IF(F49&gt;G49,1,IF(F49&lt;G49,0,)))))</f>
        <v>0</v>
      </c>
      <c r="L46" s="4">
        <f>G44+G47+F49</f>
        <v>50</v>
      </c>
      <c r="M46" s="4">
        <f>F44+F47+G49</f>
        <v>65</v>
      </c>
      <c r="N46" s="20">
        <f>IFERROR(L46/M46,"Max")</f>
        <v>0.76923076923076927</v>
      </c>
      <c r="O46" s="20">
        <f>IF(N46="Max",400,(K46*100)+N46)</f>
        <v>0.76923076923076927</v>
      </c>
      <c r="P46"/>
      <c r="Q46" s="21">
        <v>3</v>
      </c>
      <c r="R46" s="7" t="str">
        <f>IF($K46+$K47+$K44+$K45=6,INDEX(J44:J47,MATCH($Q46,I44:I47,0)),"Pdte")</f>
        <v>BELMONTE - GRACIA</v>
      </c>
    </row>
    <row r="47" spans="1:18" s="11" customFormat="1" ht="21.75" customHeight="1">
      <c r="A47" s="8">
        <f>A54+O1</f>
        <v>0.47916666666666663</v>
      </c>
      <c r="B47" s="4">
        <f>M4</f>
        <v>3</v>
      </c>
      <c r="C47" s="10" t="str">
        <f>J45</f>
        <v>GRIMA - BALASCH</v>
      </c>
      <c r="D47" s="10" t="str">
        <f>J46</f>
        <v>NEWSOME - CUEVAS</v>
      </c>
      <c r="E47" s="19" t="str">
        <f>J47</f>
        <v>BELMONTE - GRACIA</v>
      </c>
      <c r="F47" s="14">
        <v>23</v>
      </c>
      <c r="G47" s="15">
        <v>21</v>
      </c>
      <c r="I47" s="7">
        <f>RANK(O47,O44:O47,0)</f>
        <v>3</v>
      </c>
      <c r="J47" s="10" t="str">
        <f>Entradas!G21</f>
        <v>BELMONTE - GRACIA</v>
      </c>
      <c r="K47" s="4">
        <f>(IF(G45&gt;F45,1,IF(G45&lt;F45,0,))+(IF(G46&gt;F46,1,IF(G46&lt;F46,0,))+(IF(G49&gt;F49,1,IF(G49&lt;F49,0,)))))</f>
        <v>1</v>
      </c>
      <c r="L47" s="4">
        <f>G45+G46+G49</f>
        <v>45</v>
      </c>
      <c r="M47" s="4">
        <f>F45+F46+F49</f>
        <v>61</v>
      </c>
      <c r="N47" s="20">
        <f>IFERROR(L47/M47,"Max")</f>
        <v>0.73770491803278693</v>
      </c>
      <c r="O47" s="20">
        <f>IF(N47="Max",400,(K47*100)+N47)</f>
        <v>100.73770491803279</v>
      </c>
      <c r="P47"/>
      <c r="Q47" s="21">
        <v>4</v>
      </c>
      <c r="R47" s="7" t="str">
        <f>IF($K44+$K45+$K46+$K47=6,INDEX(J44:J47,MATCH($Q47,I44:I47,0)),"Pdte")</f>
        <v>NEWSOME - CUEVAS</v>
      </c>
    </row>
    <row r="48" spans="1:18" s="11" customFormat="1" ht="21.75" customHeight="1">
      <c r="A48" s="8">
        <f>A55+$O$1</f>
        <v>0.51388888888888884</v>
      </c>
      <c r="B48" s="4">
        <f>M4</f>
        <v>3</v>
      </c>
      <c r="C48" s="10" t="str">
        <f>J44</f>
        <v>MARTINEZ - GARCIA</v>
      </c>
      <c r="D48" s="10" t="str">
        <f>J45</f>
        <v>GRIMA - BALASCH</v>
      </c>
      <c r="E48" s="19" t="str">
        <f>J46</f>
        <v>NEWSOME - CUEVAS</v>
      </c>
      <c r="F48" s="14">
        <v>15</v>
      </c>
      <c r="G48" s="15">
        <v>21</v>
      </c>
    </row>
    <row r="49" spans="1:19" s="11" customFormat="1" ht="21.75" customHeight="1">
      <c r="A49" s="8">
        <f>A56+O1</f>
        <v>0.54861111111111116</v>
      </c>
      <c r="B49" s="4">
        <f>M4</f>
        <v>3</v>
      </c>
      <c r="C49" s="10" t="str">
        <f>J46</f>
        <v>NEWSOME - CUEVAS</v>
      </c>
      <c r="D49" s="10" t="str">
        <f>J47</f>
        <v>BELMONTE - GRACIA</v>
      </c>
      <c r="E49" s="19" t="str">
        <f>J44</f>
        <v>MARTINEZ - GARCIA</v>
      </c>
      <c r="F49" s="14">
        <v>19</v>
      </c>
      <c r="G49" s="15">
        <v>21</v>
      </c>
      <c r="I49"/>
      <c r="J49"/>
      <c r="K49"/>
      <c r="L49"/>
      <c r="M49"/>
      <c r="N49"/>
      <c r="O49"/>
      <c r="P49"/>
      <c r="Q49"/>
      <c r="R49"/>
    </row>
    <row r="50" spans="1:19" ht="21.75" customHeight="1"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9" s="11" customFormat="1" ht="21.75" customHeight="1">
      <c r="A51" s="4" t="s">
        <v>2</v>
      </c>
      <c r="B51" s="4" t="s">
        <v>3</v>
      </c>
      <c r="C51" s="10" t="s">
        <v>4</v>
      </c>
      <c r="D51" s="10" t="s">
        <v>5</v>
      </c>
      <c r="E51" s="4" t="s">
        <v>14</v>
      </c>
      <c r="F51" s="10" t="s">
        <v>7</v>
      </c>
      <c r="G51" s="10" t="s">
        <v>7</v>
      </c>
      <c r="I51" s="7" t="s">
        <v>8</v>
      </c>
      <c r="J51" s="9" t="s">
        <v>60</v>
      </c>
      <c r="K51" s="4" t="s">
        <v>9</v>
      </c>
      <c r="L51" s="4" t="s">
        <v>10</v>
      </c>
      <c r="M51" s="4" t="s">
        <v>11</v>
      </c>
      <c r="N51" s="10" t="s">
        <v>12</v>
      </c>
      <c r="O51" s="10" t="s">
        <v>26</v>
      </c>
      <c r="P51"/>
      <c r="Q51" s="4" t="s">
        <v>13</v>
      </c>
      <c r="R51" s="4" t="str">
        <f>J51</f>
        <v>Grup 6 Matí</v>
      </c>
    </row>
    <row r="52" spans="1:19" s="11" customFormat="1" ht="21.75" customHeight="1">
      <c r="A52" s="8">
        <f>A44+$O$1</f>
        <v>0.3923611111111111</v>
      </c>
      <c r="B52" s="4">
        <f>M4</f>
        <v>3</v>
      </c>
      <c r="C52" s="10" t="str">
        <f>J52</f>
        <v>GONZALEZ - PUDDU</v>
      </c>
      <c r="D52" s="10" t="str">
        <f>J54</f>
        <v>MAS - ENAMORADO</v>
      </c>
      <c r="E52" s="19" t="str">
        <f>J53</f>
        <v>APARICIO - TOCADOS</v>
      </c>
      <c r="F52" s="14">
        <v>21</v>
      </c>
      <c r="G52" s="15">
        <v>18</v>
      </c>
      <c r="I52" s="7">
        <f>RANK(O52,O52:O55,0)</f>
        <v>3</v>
      </c>
      <c r="J52" s="10" t="str">
        <f>Entradas!G7</f>
        <v>GONZALEZ - PUDDU</v>
      </c>
      <c r="K52" s="4">
        <f>(IF(F52&gt;G52,1,IF(F52&lt;G52,0,))+(IF(F54&gt;G54,1,IF(F54&lt;G54,0,))+(IF(F56&gt;G56,1,IF(F56&lt;G56,0,)))))</f>
        <v>1</v>
      </c>
      <c r="L52" s="4">
        <f>F52+F54+F56</f>
        <v>54</v>
      </c>
      <c r="M52" s="4">
        <f>G52+G54+G56</f>
        <v>60</v>
      </c>
      <c r="N52" s="20">
        <f>IFERROR(L52/M52,"Max")</f>
        <v>0.9</v>
      </c>
      <c r="O52" s="20">
        <f>IF(N52="Max",400,(K52*100)+N52)</f>
        <v>100.9</v>
      </c>
      <c r="P52"/>
      <c r="Q52" s="21">
        <v>1</v>
      </c>
      <c r="R52" s="7" t="str">
        <f>IF($K52+$K53+$K54+$K55=6,INDEX(J52:J55,MATCH($Q52,I52:I55,0)),"Pdte")</f>
        <v>APARICIO - TOCADOS</v>
      </c>
    </row>
    <row r="53" spans="1:19" s="11" customFormat="1" ht="21.75" customHeight="1">
      <c r="A53" s="8">
        <f>A45+$O$1</f>
        <v>0.42708333333333331</v>
      </c>
      <c r="B53" s="4">
        <f>M4</f>
        <v>3</v>
      </c>
      <c r="C53" s="10" t="str">
        <f>J53</f>
        <v>APARICIO - TOCADOS</v>
      </c>
      <c r="D53" s="10" t="str">
        <f>J55</f>
        <v>BLASI - LUNA</v>
      </c>
      <c r="E53" s="19" t="str">
        <f>J52</f>
        <v>GONZALEZ - PUDDU</v>
      </c>
      <c r="F53" s="14">
        <v>21</v>
      </c>
      <c r="G53" s="15">
        <v>14</v>
      </c>
      <c r="I53" s="7">
        <f>RANK(O53,O52:O55,0)</f>
        <v>1</v>
      </c>
      <c r="J53" s="10" t="str">
        <f>Entradas!G8</f>
        <v>APARICIO - TOCADOS</v>
      </c>
      <c r="K53" s="4">
        <f>(IF(F53&gt;G53,1,IF(F53&lt;G53,0,))+(IF(F55&gt;G55,1,IF(F55&lt;G55,0,))+(IF(G56&gt;F56,1,IF(G56&lt;F56,0,)))))</f>
        <v>3</v>
      </c>
      <c r="L53" s="4">
        <f>F53+F55+G56</f>
        <v>63</v>
      </c>
      <c r="M53" s="4">
        <f>G53+G55+F56</f>
        <v>44</v>
      </c>
      <c r="N53" s="20">
        <f>IFERROR(L53/M53,"Max")</f>
        <v>1.4318181818181819</v>
      </c>
      <c r="O53" s="20">
        <f>IF(N53="Max",400,(K53*100)+N53)</f>
        <v>301.43181818181819</v>
      </c>
      <c r="P53"/>
      <c r="Q53" s="21">
        <v>2</v>
      </c>
      <c r="R53" s="7" t="str">
        <f>IF($K53+$K54+$K55+$K52=6,INDEX(J52:J55,MATCH($Q53,I52:I55,0)),"Pdte")</f>
        <v>BLASI - LUNA</v>
      </c>
    </row>
    <row r="54" spans="1:19" s="11" customFormat="1" ht="21.75" customHeight="1">
      <c r="A54" s="8">
        <f>A46+$O$1</f>
        <v>0.46180555555555552</v>
      </c>
      <c r="B54" s="4">
        <f>M4</f>
        <v>3</v>
      </c>
      <c r="C54" s="10" t="str">
        <f>J52</f>
        <v>GONZALEZ - PUDDU</v>
      </c>
      <c r="D54" s="10" t="str">
        <f>J55</f>
        <v>BLASI - LUNA</v>
      </c>
      <c r="E54" s="19" t="str">
        <f>J54</f>
        <v>MAS - ENAMORADO</v>
      </c>
      <c r="F54" s="14">
        <v>16</v>
      </c>
      <c r="G54" s="15">
        <v>21</v>
      </c>
      <c r="I54" s="7">
        <f>RANK(O54,O52:O55,0)</f>
        <v>4</v>
      </c>
      <c r="J54" s="10" t="str">
        <f>Entradas!G19</f>
        <v>MAS - ENAMORADO</v>
      </c>
      <c r="K54" s="4">
        <f>(IF(G52&gt;F52,1,IF(G52&lt;F52,0,))+(IF(G55&gt;F55,1,IF(G55&lt;F55,0,))+(IF(F57&gt;G57,1,IF(F57&lt;G57,0,)))))</f>
        <v>0</v>
      </c>
      <c r="L54" s="4">
        <f>G52+G55+F57</f>
        <v>45</v>
      </c>
      <c r="M54" s="4">
        <f>F52+F55+G57</f>
        <v>63</v>
      </c>
      <c r="N54" s="20">
        <f>IFERROR(L54/M54,"Max")</f>
        <v>0.7142857142857143</v>
      </c>
      <c r="O54" s="20">
        <f>IF(N54="Max",400,(K54*100)+N54)</f>
        <v>0.7142857142857143</v>
      </c>
      <c r="P54"/>
      <c r="Q54" s="21">
        <v>3</v>
      </c>
      <c r="R54" s="7" t="str">
        <f>IF($K54+$K55+$K52+$K53=6,INDEX(J52:J55,MATCH($Q54,I52:I55,0)),"Pdte")</f>
        <v>GONZALEZ - PUDDU</v>
      </c>
    </row>
    <row r="55" spans="1:19" s="11" customFormat="1" ht="21.75" customHeight="1">
      <c r="A55" s="8">
        <f>A47+O1</f>
        <v>0.49652777777777773</v>
      </c>
      <c r="B55" s="4">
        <f>M4</f>
        <v>3</v>
      </c>
      <c r="C55" s="10" t="str">
        <f>J53</f>
        <v>APARICIO - TOCADOS</v>
      </c>
      <c r="D55" s="10" t="str">
        <f>J54</f>
        <v>MAS - ENAMORADO</v>
      </c>
      <c r="E55" s="19" t="str">
        <f>J55</f>
        <v>BLASI - LUNA</v>
      </c>
      <c r="F55" s="14">
        <v>21</v>
      </c>
      <c r="G55" s="15">
        <v>13</v>
      </c>
      <c r="I55" s="7">
        <f>RANK(O55,O52:O55,0)</f>
        <v>2</v>
      </c>
      <c r="J55" s="10" t="str">
        <f>Entradas!G20</f>
        <v>BLASI - LUNA</v>
      </c>
      <c r="K55" s="4">
        <f>(IF(G53&gt;F53,1,IF(G53&lt;F53,0,))+(IF(G54&gt;F54,1,IF(G54&lt;F54,0,))+(IF(G57&gt;F57,1,IF(G57&lt;F57,0,)))))</f>
        <v>2</v>
      </c>
      <c r="L55" s="4">
        <f>G53+G54+G57</f>
        <v>56</v>
      </c>
      <c r="M55" s="4">
        <f>F53+F54+F57</f>
        <v>51</v>
      </c>
      <c r="N55" s="20">
        <f>IFERROR(L55/M55,"Max")</f>
        <v>1.0980392156862746</v>
      </c>
      <c r="O55" s="20">
        <f>IF(N55="Max",400,(K55*100)+N55)</f>
        <v>201.09803921568627</v>
      </c>
      <c r="P55"/>
      <c r="Q55" s="21">
        <v>4</v>
      </c>
      <c r="R55" s="7" t="str">
        <f>IF($K52+$K53+$K54+$K55=6,INDEX(J52:J55,MATCH($Q55,I52:I55,0)),"Pdte")</f>
        <v>MAS - ENAMORADO</v>
      </c>
    </row>
    <row r="56" spans="1:19" s="11" customFormat="1" ht="21.75" customHeight="1">
      <c r="A56" s="8">
        <f>A48+$O$1</f>
        <v>0.53125</v>
      </c>
      <c r="B56" s="4">
        <f>M4</f>
        <v>3</v>
      </c>
      <c r="C56" s="10" t="str">
        <f>J52</f>
        <v>GONZALEZ - PUDDU</v>
      </c>
      <c r="D56" s="10" t="str">
        <f>J53</f>
        <v>APARICIO - TOCADOS</v>
      </c>
      <c r="E56" s="19" t="str">
        <f>J54</f>
        <v>MAS - ENAMORADO</v>
      </c>
      <c r="F56" s="14">
        <v>17</v>
      </c>
      <c r="G56" s="15">
        <v>21</v>
      </c>
    </row>
    <row r="57" spans="1:19" s="11" customFormat="1" ht="21.75" customHeight="1">
      <c r="A57" s="8">
        <f>A49+O1</f>
        <v>0.56597222222222232</v>
      </c>
      <c r="B57" s="4">
        <f>M4</f>
        <v>3</v>
      </c>
      <c r="C57" s="10" t="str">
        <f>J54</f>
        <v>MAS - ENAMORADO</v>
      </c>
      <c r="D57" s="10" t="str">
        <f>J55</f>
        <v>BLASI - LUNA</v>
      </c>
      <c r="E57" s="19" t="str">
        <f>J52</f>
        <v>GONZALEZ - PUDDU</v>
      </c>
      <c r="F57" s="14">
        <v>14</v>
      </c>
      <c r="G57" s="15">
        <v>21</v>
      </c>
    </row>
    <row r="58" spans="1:19" ht="21.75" customHeight="1"/>
    <row r="59" spans="1:19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1" spans="1:19">
      <c r="A61" s="22" t="s">
        <v>63</v>
      </c>
      <c r="B61" s="48"/>
    </row>
    <row r="62" spans="1:19" ht="18">
      <c r="A62" s="4" t="s">
        <v>2</v>
      </c>
      <c r="B62" s="4" t="s">
        <v>3</v>
      </c>
      <c r="C62" s="10" t="s">
        <v>4</v>
      </c>
      <c r="D62" s="10" t="s">
        <v>5</v>
      </c>
      <c r="E62" s="4" t="s">
        <v>14</v>
      </c>
      <c r="F62" s="10" t="s">
        <v>7</v>
      </c>
      <c r="G62" s="10" t="s">
        <v>7</v>
      </c>
      <c r="H62" s="11"/>
      <c r="I62" s="7" t="s">
        <v>8</v>
      </c>
      <c r="J62" s="9" t="s">
        <v>23</v>
      </c>
      <c r="K62" s="4" t="s">
        <v>9</v>
      </c>
      <c r="L62" s="4" t="s">
        <v>10</v>
      </c>
      <c r="M62" s="4" t="s">
        <v>11</v>
      </c>
      <c r="N62" s="10" t="s">
        <v>12</v>
      </c>
      <c r="O62" s="10" t="s">
        <v>26</v>
      </c>
      <c r="P62" s="11"/>
      <c r="Q62" s="4" t="s">
        <v>13</v>
      </c>
      <c r="R62" s="4" t="s">
        <v>23</v>
      </c>
    </row>
    <row r="63" spans="1:19" ht="18">
      <c r="A63" s="8">
        <f>$L$2</f>
        <v>0.65625</v>
      </c>
      <c r="B63" s="4">
        <v>2</v>
      </c>
      <c r="C63" s="10" t="str">
        <f>J63</f>
        <v>MONTFORT - SCOCCO</v>
      </c>
      <c r="D63" s="10" t="str">
        <f>J65</f>
        <v>CLARAMUNT - ANTON</v>
      </c>
      <c r="E63" s="4" t="str">
        <f>J64</f>
        <v>MARTINEZ - GARCIA</v>
      </c>
      <c r="F63" s="41"/>
      <c r="G63" s="41"/>
      <c r="I63" s="7">
        <f>RANK(O63,O63:O65,0)</f>
        <v>1</v>
      </c>
      <c r="J63" s="10" t="str">
        <f>IF(R10="Pdte","1r Grup 1 Matí",R10)</f>
        <v>MONTFORT - SCOCCO</v>
      </c>
      <c r="K63" s="4">
        <f>(IF(F63&gt;G63,1,IF(F63&lt;G63,0,))+(IF(F65&gt;G65,1,IF(F65&lt;G65,0,))))</f>
        <v>0</v>
      </c>
      <c r="L63" s="4">
        <f>F63+F65</f>
        <v>0</v>
      </c>
      <c r="M63" s="4">
        <f>G63+G65</f>
        <v>0</v>
      </c>
      <c r="N63" s="20" t="str">
        <f>IFERROR(L63/M63,"Max")</f>
        <v>Max</v>
      </c>
      <c r="O63" s="20">
        <f>IF(N63="Max",400,(K63*100)+N63)</f>
        <v>400</v>
      </c>
      <c r="P63" s="11"/>
      <c r="Q63" s="21">
        <v>1</v>
      </c>
      <c r="R63" s="7" t="str">
        <f>IF($K63+$K64+$K65=3,INDEX(J63:J65,MATCH($Q63,I63:I65,0)),"Pdte")</f>
        <v>Pdte</v>
      </c>
    </row>
    <row r="64" spans="1:19" ht="18">
      <c r="A64" s="8">
        <f>A68+$O$1</f>
        <v>0.69097222222222232</v>
      </c>
      <c r="B64" s="4">
        <v>2</v>
      </c>
      <c r="C64" s="10" t="str">
        <f>J64</f>
        <v>MARTINEZ - GARCIA</v>
      </c>
      <c r="D64" s="10" t="str">
        <f>J65</f>
        <v>CLARAMUNT - ANTON</v>
      </c>
      <c r="E64" s="4" t="str">
        <f>J63</f>
        <v>MONTFORT - SCOCCO</v>
      </c>
      <c r="F64" s="41"/>
      <c r="G64" s="41"/>
      <c r="I64" s="7">
        <f>RANK(O64,O63:O65,0)</f>
        <v>1</v>
      </c>
      <c r="J64" s="10" t="str">
        <f>IF(R44="Pdte","2n Grup 5 Matí",R45)</f>
        <v>MARTINEZ - GARCIA</v>
      </c>
      <c r="K64" s="4">
        <f>(IF(F64&gt;G64,1,IF(F64&lt;G64,0,))+(IF(G65&gt;F65,1,IF(G65&lt;F65,0,))))</f>
        <v>0</v>
      </c>
      <c r="L64" s="4">
        <f>F64+G65</f>
        <v>0</v>
      </c>
      <c r="M64" s="4">
        <f>G64+F65</f>
        <v>0</v>
      </c>
      <c r="N64" s="20" t="str">
        <f>IFERROR(L64/M64,"Max")</f>
        <v>Max</v>
      </c>
      <c r="O64" s="20">
        <f>IF(N64="Max",400,(K64*100)+N64)</f>
        <v>400</v>
      </c>
      <c r="P64" s="11"/>
      <c r="Q64" s="21">
        <v>2</v>
      </c>
      <c r="R64" s="7" t="str">
        <f>IF($K64+$K65+$K63=3,INDEX(J63:J65,MATCH($Q64,I63:I65,0)),"Pdte")</f>
        <v>Pdte</v>
      </c>
    </row>
    <row r="65" spans="1:18" ht="18">
      <c r="A65" s="8">
        <f>A69+$O$1</f>
        <v>0.72569444444444464</v>
      </c>
      <c r="B65" s="4">
        <v>2</v>
      </c>
      <c r="C65" s="10" t="str">
        <f>J63</f>
        <v>MONTFORT - SCOCCO</v>
      </c>
      <c r="D65" s="10" t="str">
        <f>J64</f>
        <v>MARTINEZ - GARCIA</v>
      </c>
      <c r="E65" s="4" t="str">
        <f>J65</f>
        <v>CLARAMUNT - ANTON</v>
      </c>
      <c r="F65" s="41"/>
      <c r="G65" s="41"/>
      <c r="I65" s="7">
        <f>RANK(O65,O63:O65,0)</f>
        <v>1</v>
      </c>
      <c r="J65" s="10" t="str">
        <f>IF(R35="Pdte","2n Grup 4 Matí",R36)</f>
        <v>CLARAMUNT - ANTON</v>
      </c>
      <c r="K65" s="4">
        <f>(IF(G63&gt;F63,1,IF(G63&lt;F63,0,))+(IF(G64&gt;F64,1,IF(G64&lt;F64,0,))))</f>
        <v>0</v>
      </c>
      <c r="L65" s="4">
        <f>G63+G64</f>
        <v>0</v>
      </c>
      <c r="M65" s="4">
        <f>F63+F64</f>
        <v>0</v>
      </c>
      <c r="N65" s="20" t="str">
        <f>IFERROR(L65/M65,"Max")</f>
        <v>Max</v>
      </c>
      <c r="O65" s="20">
        <f>IF(N65="Max",400,(K65*100)+N65)</f>
        <v>400</v>
      </c>
      <c r="P65" s="11"/>
      <c r="Q65" s="21">
        <v>3</v>
      </c>
      <c r="R65" s="7" t="str">
        <f>IF($K65+$K64+$K63=3,INDEX(J63:J65,MATCH($Q65,I63:I65,0)),"Pdte")</f>
        <v>Pdte</v>
      </c>
    </row>
    <row r="66" spans="1:18">
      <c r="C66" s="11"/>
      <c r="D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8">
      <c r="A67" s="4" t="s">
        <v>2</v>
      </c>
      <c r="B67" s="4" t="s">
        <v>3</v>
      </c>
      <c r="C67" s="10" t="s">
        <v>4</v>
      </c>
      <c r="D67" s="10" t="s">
        <v>5</v>
      </c>
      <c r="E67" s="4" t="s">
        <v>14</v>
      </c>
      <c r="F67" s="10" t="s">
        <v>7</v>
      </c>
      <c r="G67" s="10" t="s">
        <v>7</v>
      </c>
      <c r="H67" s="11"/>
      <c r="I67" s="7" t="s">
        <v>8</v>
      </c>
      <c r="J67" s="9" t="s">
        <v>25</v>
      </c>
      <c r="K67" s="4" t="s">
        <v>9</v>
      </c>
      <c r="L67" s="4" t="s">
        <v>10</v>
      </c>
      <c r="M67" s="4" t="s">
        <v>11</v>
      </c>
      <c r="N67" s="10" t="s">
        <v>12</v>
      </c>
      <c r="O67" s="10" t="s">
        <v>26</v>
      </c>
      <c r="P67" s="11"/>
      <c r="Q67" s="4" t="s">
        <v>13</v>
      </c>
      <c r="R67" s="4" t="s">
        <v>25</v>
      </c>
    </row>
    <row r="68" spans="1:18" ht="18">
      <c r="A68" s="8">
        <f>A63+$O1</f>
        <v>0.67361111111111116</v>
      </c>
      <c r="B68" s="4">
        <v>2</v>
      </c>
      <c r="C68" s="10" t="str">
        <f>J68</f>
        <v>ANENTO - SELENT</v>
      </c>
      <c r="D68" s="10" t="str">
        <f>J70</f>
        <v>PEINADOR - VELEZ</v>
      </c>
      <c r="E68" s="4" t="str">
        <f>J69</f>
        <v>BLASI - LUNA</v>
      </c>
      <c r="F68" s="39"/>
      <c r="G68" s="39"/>
      <c r="I68" s="7">
        <f>RANK(O68,O68:O70,0)</f>
        <v>1</v>
      </c>
      <c r="J68" s="10" t="str">
        <f>IF(R19="Pdte","1r Grup 2 Matí",R19)</f>
        <v>ANENTO - SELENT</v>
      </c>
      <c r="K68" s="4">
        <f>(IF(F68&gt;G68,1,IF(F68&lt;G68,0,))+(IF(F70&gt;G70,1,IF(F70&lt;G70,0,))))</f>
        <v>0</v>
      </c>
      <c r="L68" s="4">
        <f>F68+F70</f>
        <v>0</v>
      </c>
      <c r="M68" s="4">
        <f>G68+G70</f>
        <v>0</v>
      </c>
      <c r="N68" s="20" t="str">
        <f>IFERROR(L68/M68,"Max")</f>
        <v>Max</v>
      </c>
      <c r="O68" s="20">
        <f>IF(N68="Max",400,(K68*100)+N68)</f>
        <v>400</v>
      </c>
      <c r="P68" s="11"/>
      <c r="Q68" s="21">
        <v>1</v>
      </c>
      <c r="R68" s="7" t="str">
        <f>IF($K68+$K69+$K70=3,INDEX(J68:J70,MATCH($Q68,I68:I70,0)),"Pdte")</f>
        <v>Pdte</v>
      </c>
    </row>
    <row r="69" spans="1:18" ht="18">
      <c r="A69" s="8">
        <f>A64+$O$1</f>
        <v>0.70833333333333348</v>
      </c>
      <c r="B69" s="4">
        <v>2</v>
      </c>
      <c r="C69" s="10" t="str">
        <f>J69</f>
        <v>BLASI - LUNA</v>
      </c>
      <c r="D69" s="10" t="str">
        <f>J70</f>
        <v>PEINADOR - VELEZ</v>
      </c>
      <c r="E69" s="4" t="str">
        <f>J68</f>
        <v>ANENTO - SELENT</v>
      </c>
      <c r="F69" s="39"/>
      <c r="G69" s="39"/>
      <c r="I69" s="7">
        <f>RANK(O69,O68:O70,0)</f>
        <v>1</v>
      </c>
      <c r="J69" s="10" t="str">
        <f>IF(R52="Pdte","2n Grup 6 Matí",R53)</f>
        <v>BLASI - LUNA</v>
      </c>
      <c r="K69" s="4">
        <f>(IF(F69&gt;G69,1,IF(F69&lt;G69,0,))+(IF(G70&gt;F70,1,IF(G70&lt;F70,0,))))</f>
        <v>0</v>
      </c>
      <c r="L69" s="4">
        <f>F69+G70</f>
        <v>0</v>
      </c>
      <c r="M69" s="4">
        <f>G69+F70</f>
        <v>0</v>
      </c>
      <c r="N69" s="20" t="str">
        <f>IFERROR(L69/M69,"Max")</f>
        <v>Max</v>
      </c>
      <c r="O69" s="20">
        <f>IF(N69="Max",400,(K69*100)+N69)</f>
        <v>400</v>
      </c>
      <c r="P69" s="11"/>
      <c r="Q69" s="21">
        <v>2</v>
      </c>
      <c r="R69" s="7" t="str">
        <f>IF($K69+$K70+$K68=3,INDEX(J68:J70,MATCH($Q69,I68:I70,0)),"Pdte")</f>
        <v>Pdte</v>
      </c>
    </row>
    <row r="70" spans="1:18" ht="18">
      <c r="A70" s="8">
        <f>A65+$O$1</f>
        <v>0.7430555555555558</v>
      </c>
      <c r="B70" s="4">
        <v>2</v>
      </c>
      <c r="C70" s="10" t="str">
        <f>J68</f>
        <v>ANENTO - SELENT</v>
      </c>
      <c r="D70" s="10" t="str">
        <f>J69</f>
        <v>BLASI - LUNA</v>
      </c>
      <c r="E70" s="4" t="str">
        <f>J70</f>
        <v>PEINADOR - VELEZ</v>
      </c>
      <c r="F70" s="39"/>
      <c r="G70" s="39"/>
      <c r="I70" s="7">
        <f>RANK(O70,O68:O70,0)</f>
        <v>1</v>
      </c>
      <c r="J70" s="10" t="str">
        <f>IF(R27="Pdte","2n Grup 3 Matí",R28)</f>
        <v>PEINADOR - VELEZ</v>
      </c>
      <c r="K70" s="4">
        <f>(IF(G68&gt;F68,1,IF(G68&lt;F68,0,))+(IF(G69&gt;F69,1,IF(G69&lt;F69,0,))))</f>
        <v>0</v>
      </c>
      <c r="L70" s="4">
        <f>G68+G69</f>
        <v>0</v>
      </c>
      <c r="M70" s="4">
        <f>F68+F69</f>
        <v>0</v>
      </c>
      <c r="N70" s="20" t="str">
        <f>IFERROR(L70/M70,"Max")</f>
        <v>Max</v>
      </c>
      <c r="O70" s="20">
        <f>IF(N70="Max",400,(K70*100)+N70)</f>
        <v>400</v>
      </c>
      <c r="P70" s="11"/>
      <c r="Q70" s="21">
        <v>3</v>
      </c>
      <c r="R70" s="7" t="str">
        <f>IF($K70+$K69+$K68=3,INDEX(J68:J70,MATCH($Q70,I68:I70,0)),"Pdte")</f>
        <v>Pdte</v>
      </c>
    </row>
    <row r="71" spans="1:18">
      <c r="C71" s="11"/>
      <c r="D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8">
      <c r="A72" s="4" t="s">
        <v>2</v>
      </c>
      <c r="B72" s="4" t="s">
        <v>3</v>
      </c>
      <c r="C72" s="10" t="s">
        <v>4</v>
      </c>
      <c r="D72" s="10" t="s">
        <v>5</v>
      </c>
      <c r="E72" s="4" t="s">
        <v>14</v>
      </c>
      <c r="F72" s="10" t="s">
        <v>7</v>
      </c>
      <c r="G72" s="10" t="s">
        <v>7</v>
      </c>
      <c r="H72" s="11"/>
      <c r="I72" s="7" t="s">
        <v>8</v>
      </c>
      <c r="J72" s="9" t="s">
        <v>27</v>
      </c>
      <c r="K72" s="4" t="s">
        <v>9</v>
      </c>
      <c r="L72" s="4" t="s">
        <v>10</v>
      </c>
      <c r="M72" s="4" t="s">
        <v>11</v>
      </c>
      <c r="N72" s="10" t="s">
        <v>12</v>
      </c>
      <c r="O72" s="10" t="s">
        <v>26</v>
      </c>
      <c r="P72" s="11"/>
      <c r="Q72" s="4" t="s">
        <v>13</v>
      </c>
      <c r="R72" s="4" t="s">
        <v>27</v>
      </c>
    </row>
    <row r="73" spans="1:18" ht="18">
      <c r="A73" s="8">
        <f>L2</f>
        <v>0.65625</v>
      </c>
      <c r="B73" s="4">
        <v>5</v>
      </c>
      <c r="C73" s="10" t="str">
        <f>J73</f>
        <v>SANCHEZ - SANCHEZ</v>
      </c>
      <c r="D73" s="10" t="str">
        <f>J75</f>
        <v>CAMPO - CARDONA</v>
      </c>
      <c r="E73" s="4" t="str">
        <f>J74</f>
        <v>APARICIO - TOCADOS</v>
      </c>
      <c r="F73" s="39"/>
      <c r="G73" s="39"/>
      <c r="I73" s="7">
        <f>RANK(O73,O73:O75,0)</f>
        <v>1</v>
      </c>
      <c r="J73" s="10" t="str">
        <f>IF(R27="Pdte","1r Grup 3 Matí",R27)</f>
        <v>SANCHEZ - SANCHEZ</v>
      </c>
      <c r="K73" s="4">
        <f>(IF(F73&gt;G73,1,IF(F73&lt;G73,0,))+(IF(F75&gt;G75,1,IF(F75&lt;G75,0,))))</f>
        <v>0</v>
      </c>
      <c r="L73" s="4">
        <f>F73+F75</f>
        <v>0</v>
      </c>
      <c r="M73" s="4">
        <f>G73+G75</f>
        <v>0</v>
      </c>
      <c r="N73" s="20" t="str">
        <f>IFERROR(L73/M73,"Max")</f>
        <v>Max</v>
      </c>
      <c r="O73" s="20">
        <f>IF(N73="Max",400,(K73*100)+N73)</f>
        <v>400</v>
      </c>
      <c r="P73" s="11"/>
      <c r="Q73" s="21">
        <v>1</v>
      </c>
      <c r="R73" s="7" t="str">
        <f>IF($K73+$K74+$K75=3,INDEX(J73:J75,MATCH($Q73,I73:I75,0)),"Pdte")</f>
        <v>Pdte</v>
      </c>
    </row>
    <row r="74" spans="1:18" ht="18">
      <c r="A74" s="8">
        <f>A78+$O$1</f>
        <v>0.69097222222222232</v>
      </c>
      <c r="B74" s="4">
        <v>5</v>
      </c>
      <c r="C74" s="10" t="str">
        <f>J74</f>
        <v>APARICIO - TOCADOS</v>
      </c>
      <c r="D74" s="10" t="str">
        <f>J75</f>
        <v>CAMPO - CARDONA</v>
      </c>
      <c r="E74" s="4" t="str">
        <f>J73</f>
        <v>SANCHEZ - SANCHEZ</v>
      </c>
      <c r="F74" s="40"/>
      <c r="G74" s="40"/>
      <c r="I74" s="7">
        <f>RANK(O74,O73:O75,0)</f>
        <v>1</v>
      </c>
      <c r="J74" s="10" t="str">
        <f>IF(R52="Pdte","1r Grup 6 Matí",R52)</f>
        <v>APARICIO - TOCADOS</v>
      </c>
      <c r="K74" s="4">
        <f>(IF(F74&gt;G74,1,IF(F74&lt;G74,0,))+(IF(G75&gt;F75,1,IF(G75&lt;F75,0,))))</f>
        <v>0</v>
      </c>
      <c r="L74" s="4">
        <f>F74+G75</f>
        <v>0</v>
      </c>
      <c r="M74" s="4">
        <f>G74+F75</f>
        <v>0</v>
      </c>
      <c r="N74" s="20" t="str">
        <f>IFERROR(L74/M74,"Max")</f>
        <v>Max</v>
      </c>
      <c r="O74" s="20">
        <f>IF(N74="Max",400,(K74*100)+N74)</f>
        <v>400</v>
      </c>
      <c r="P74" s="11"/>
      <c r="Q74" s="21">
        <v>2</v>
      </c>
      <c r="R74" s="7" t="str">
        <f>IF($K74+$K75+$K73=3,INDEX(J73:J75,MATCH($Q74,I73:I75,0)),"Pdte")</f>
        <v>Pdte</v>
      </c>
    </row>
    <row r="75" spans="1:18" ht="18">
      <c r="A75" s="8">
        <f>A79+$O$1</f>
        <v>0.72569444444444464</v>
      </c>
      <c r="B75" s="4">
        <v>5</v>
      </c>
      <c r="C75" s="10" t="str">
        <f>J73</f>
        <v>SANCHEZ - SANCHEZ</v>
      </c>
      <c r="D75" s="10" t="str">
        <f>J74</f>
        <v>APARICIO - TOCADOS</v>
      </c>
      <c r="E75" s="4" t="str">
        <f>J75</f>
        <v>CAMPO - CARDONA</v>
      </c>
      <c r="F75" s="40"/>
      <c r="G75" s="40"/>
      <c r="I75" s="7">
        <f>RANK(O75,O73:O75,0)</f>
        <v>1</v>
      </c>
      <c r="J75" s="10" t="str">
        <f>IF(R19="Pdte","2n Grup 2 Matí",R20)</f>
        <v>CAMPO - CARDONA</v>
      </c>
      <c r="K75" s="4">
        <f>(IF(G73&gt;F73,1,IF(G73&lt;F73,0,))+(IF(G74&gt;F74,1,IF(G74&lt;F74,0,))))</f>
        <v>0</v>
      </c>
      <c r="L75" s="4">
        <f>G73+G74</f>
        <v>0</v>
      </c>
      <c r="M75" s="4">
        <f>F73+F74</f>
        <v>0</v>
      </c>
      <c r="N75" s="20" t="str">
        <f>IFERROR(L75/M75,"Max")</f>
        <v>Max</v>
      </c>
      <c r="O75" s="20">
        <f>IF(N75="Max",400,(K75*100)+N75)</f>
        <v>400</v>
      </c>
      <c r="P75" s="11"/>
      <c r="Q75" s="21">
        <v>3</v>
      </c>
      <c r="R75" s="7" t="str">
        <f>IF($K75+$K74+$K73=3,INDEX(J73:J75,MATCH($Q75,I73:I75,0)),"Pdte")</f>
        <v>Pdte</v>
      </c>
    </row>
    <row r="76" spans="1:18">
      <c r="C76" s="11"/>
      <c r="D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8">
      <c r="A77" s="4" t="s">
        <v>2</v>
      </c>
      <c r="B77" s="4" t="s">
        <v>3</v>
      </c>
      <c r="C77" s="10" t="s">
        <v>4</v>
      </c>
      <c r="D77" s="10" t="s">
        <v>5</v>
      </c>
      <c r="E77" s="4" t="s">
        <v>14</v>
      </c>
      <c r="F77" s="10" t="s">
        <v>7</v>
      </c>
      <c r="G77" s="10" t="s">
        <v>7</v>
      </c>
      <c r="H77" s="11"/>
      <c r="I77" s="7" t="s">
        <v>8</v>
      </c>
      <c r="J77" s="9" t="s">
        <v>28</v>
      </c>
      <c r="K77" s="4" t="s">
        <v>9</v>
      </c>
      <c r="L77" s="4" t="s">
        <v>10</v>
      </c>
      <c r="M77" s="4" t="s">
        <v>11</v>
      </c>
      <c r="N77" s="10" t="s">
        <v>12</v>
      </c>
      <c r="O77" s="10" t="s">
        <v>26</v>
      </c>
      <c r="P77" s="11"/>
      <c r="Q77" s="4" t="s">
        <v>13</v>
      </c>
      <c r="R77" s="4" t="s">
        <v>28</v>
      </c>
    </row>
    <row r="78" spans="1:18" ht="18">
      <c r="A78" s="8">
        <f>A73+$O$1</f>
        <v>0.67361111111111116</v>
      </c>
      <c r="B78" s="4">
        <v>5</v>
      </c>
      <c r="C78" s="10" t="str">
        <f>J78</f>
        <v>PALLARES - GARCIA</v>
      </c>
      <c r="D78" s="10" t="str">
        <f>J80</f>
        <v>MERKEL - PETRACHI</v>
      </c>
      <c r="E78" s="4" t="str">
        <f>J79</f>
        <v>GRIMA - BALASCH</v>
      </c>
      <c r="F78" s="39"/>
      <c r="G78" s="39"/>
      <c r="I78" s="7">
        <f>RANK(O78,O78:O80,0)</f>
        <v>1</v>
      </c>
      <c r="J78" s="10" t="str">
        <f>IF(R35="Pdte","1r Grup 4 Matí",R35)</f>
        <v>PALLARES - GARCIA</v>
      </c>
      <c r="K78" s="4">
        <f>(IF(F78&gt;G78,1,IF(F78&lt;G78,0,))+(IF(F80&gt;G80,1,IF(F80&lt;G80,0,))))</f>
        <v>0</v>
      </c>
      <c r="L78" s="4">
        <f>F78+F80</f>
        <v>0</v>
      </c>
      <c r="M78" s="4">
        <f>G78+G80</f>
        <v>0</v>
      </c>
      <c r="N78" s="20" t="str">
        <f>IFERROR(L78/M78,"Max")</f>
        <v>Max</v>
      </c>
      <c r="O78" s="20">
        <f>IF(N78="Max",400,(K78*100)+N78)</f>
        <v>400</v>
      </c>
      <c r="P78" s="11"/>
      <c r="Q78" s="21">
        <v>1</v>
      </c>
      <c r="R78" s="7" t="str">
        <f>IF($K78+$K79+$K80=3,INDEX(J78:J80,MATCH($Q78,I78:I80,0)),"Pdte")</f>
        <v>Pdte</v>
      </c>
    </row>
    <row r="79" spans="1:18" ht="18">
      <c r="A79" s="8">
        <f>A74+$O$1</f>
        <v>0.70833333333333348</v>
      </c>
      <c r="B79" s="4">
        <v>5</v>
      </c>
      <c r="C79" s="10" t="str">
        <f>J79</f>
        <v>GRIMA - BALASCH</v>
      </c>
      <c r="D79" s="10" t="str">
        <f>J80</f>
        <v>MERKEL - PETRACHI</v>
      </c>
      <c r="E79" s="4" t="str">
        <f>J78</f>
        <v>PALLARES - GARCIA</v>
      </c>
      <c r="F79" s="39"/>
      <c r="G79" s="39"/>
      <c r="I79" s="7">
        <f>RANK(O79,O78:O80,0)</f>
        <v>1</v>
      </c>
      <c r="J79" s="10" t="str">
        <f>IF(R44="Pdte","1r Grup 5 Matí",R44)</f>
        <v>GRIMA - BALASCH</v>
      </c>
      <c r="K79" s="4">
        <f>(IF(F79&gt;G79,1,IF(F79&lt;G79,0,))+(IF(G80&gt;F80,1,IF(G80&lt;F80,0,))))</f>
        <v>0</v>
      </c>
      <c r="L79" s="4">
        <f>F79+G80</f>
        <v>0</v>
      </c>
      <c r="M79" s="4">
        <f>G79+F80</f>
        <v>0</v>
      </c>
      <c r="N79" s="20" t="str">
        <f>IFERROR(L79/M79,"Max")</f>
        <v>Max</v>
      </c>
      <c r="O79" s="20">
        <f>IF(N79="Max",400,(K79*100)+N79)</f>
        <v>400</v>
      </c>
      <c r="P79" s="11"/>
      <c r="Q79" s="21">
        <v>2</v>
      </c>
      <c r="R79" s="7" t="str">
        <f>IF($K79+$K80+$K78=3,INDEX(J78:J80,MATCH($Q79,I78:I80,0)),"Pdte")</f>
        <v>Pdte</v>
      </c>
    </row>
    <row r="80" spans="1:18" ht="18">
      <c r="A80" s="8">
        <f>A75+$O$1</f>
        <v>0.7430555555555558</v>
      </c>
      <c r="B80" s="4">
        <v>5</v>
      </c>
      <c r="C80" s="10" t="str">
        <f>J78</f>
        <v>PALLARES - GARCIA</v>
      </c>
      <c r="D80" s="10" t="str">
        <f>J79</f>
        <v>GRIMA - BALASCH</v>
      </c>
      <c r="E80" s="4" t="str">
        <f>J80</f>
        <v>MERKEL - PETRACHI</v>
      </c>
      <c r="F80" s="39"/>
      <c r="G80" s="39"/>
      <c r="I80" s="7">
        <f>RANK(O80,O78:O80,0)</f>
        <v>1</v>
      </c>
      <c r="J80" s="10" t="str">
        <f>IF(R10="Pdte","2n Grup 1 Matí",R11)</f>
        <v>MERKEL - PETRACHI</v>
      </c>
      <c r="K80" s="4">
        <f>(IF(G78&gt;F78,1,IF(G78&lt;F78,0,))+(IF(G79&gt;F79,1,IF(G79&lt;F79,0,))))</f>
        <v>0</v>
      </c>
      <c r="L80" s="4">
        <f>G78+G79</f>
        <v>0</v>
      </c>
      <c r="M80" s="4">
        <f>F78+F79</f>
        <v>0</v>
      </c>
      <c r="N80" s="20" t="str">
        <f>IFERROR(L80/M80,"Max")</f>
        <v>Max</v>
      </c>
      <c r="O80" s="20">
        <f>IF(N80="Max",400,(K80*100)+N80)</f>
        <v>400</v>
      </c>
      <c r="P80" s="11"/>
      <c r="Q80" s="21">
        <v>3</v>
      </c>
      <c r="R80" s="7" t="str">
        <f>IF($K80+$K79+$K78=3,INDEX(J78:J80,MATCH($Q80,I78:I80,0)),"Pdte")</f>
        <v>Pdte</v>
      </c>
    </row>
    <row r="81" spans="1:18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>
      <c r="A82" s="22" t="s">
        <v>64</v>
      </c>
    </row>
    <row r="83" spans="1:18">
      <c r="A83" s="4" t="s">
        <v>2</v>
      </c>
      <c r="B83" s="4" t="s">
        <v>3</v>
      </c>
      <c r="C83" s="4" t="s">
        <v>4</v>
      </c>
      <c r="D83" s="4" t="s">
        <v>5</v>
      </c>
      <c r="E83" s="4" t="s">
        <v>14</v>
      </c>
      <c r="F83" s="4" t="s">
        <v>7</v>
      </c>
      <c r="G83" s="4" t="s">
        <v>7</v>
      </c>
    </row>
    <row r="84" spans="1:18">
      <c r="A84" s="9"/>
      <c r="B84" s="9"/>
      <c r="C84" s="9"/>
      <c r="D84" s="9"/>
      <c r="E84" s="9"/>
      <c r="F84" s="9"/>
      <c r="G84" s="9"/>
    </row>
    <row r="85" spans="1:18">
      <c r="A85" s="9"/>
      <c r="B85" s="9" t="s">
        <v>35</v>
      </c>
      <c r="C85" s="4" t="s">
        <v>17</v>
      </c>
      <c r="D85" s="4" t="s">
        <v>49</v>
      </c>
      <c r="E85" s="4" t="s">
        <v>50</v>
      </c>
    </row>
    <row r="86" spans="1:18" ht="18">
      <c r="A86" s="23">
        <f>A80+1.6*$O$1</f>
        <v>0.77083333333333359</v>
      </c>
      <c r="B86" s="4">
        <v>2</v>
      </c>
      <c r="C86" s="4" t="str">
        <f>IF(R63="Pdte"," ",R63)</f>
        <v xml:space="preserve"> </v>
      </c>
      <c r="D86" s="4" t="str">
        <f>IF(R74="Pdte"," ",R74)</f>
        <v xml:space="preserve"> </v>
      </c>
      <c r="E86" s="4" t="str">
        <f>IF(R69="Pdte"," ",R69)</f>
        <v xml:space="preserve"> </v>
      </c>
      <c r="F86" s="24"/>
      <c r="G86" s="25"/>
      <c r="I86" s="35"/>
      <c r="J86" s="27"/>
      <c r="K86" s="27"/>
      <c r="L86" s="27"/>
      <c r="M86" s="27"/>
      <c r="N86" s="36"/>
    </row>
    <row r="87" spans="1:18" ht="18">
      <c r="A87" s="9"/>
      <c r="B87" s="9"/>
      <c r="I87" s="35"/>
      <c r="J87" s="27"/>
      <c r="K87" s="27"/>
      <c r="L87" s="27"/>
      <c r="M87" s="27"/>
      <c r="N87" s="36"/>
    </row>
    <row r="88" spans="1:18" ht="18">
      <c r="A88" s="9"/>
      <c r="B88" s="9" t="s">
        <v>36</v>
      </c>
      <c r="C88" s="4" t="s">
        <v>51</v>
      </c>
      <c r="D88" s="4" t="s">
        <v>50</v>
      </c>
      <c r="E88" s="4" t="s">
        <v>37</v>
      </c>
      <c r="I88" s="35"/>
      <c r="J88" s="27"/>
      <c r="K88" s="27"/>
      <c r="L88" s="27"/>
      <c r="M88" s="27"/>
      <c r="N88" s="36"/>
    </row>
    <row r="89" spans="1:18" ht="18">
      <c r="A89" s="23">
        <f>A86+$O$1</f>
        <v>0.78819444444444475</v>
      </c>
      <c r="B89" s="4">
        <v>2</v>
      </c>
      <c r="C89" s="4" t="str">
        <f>IF(R78="Pdte"," ",R78)</f>
        <v xml:space="preserve"> </v>
      </c>
      <c r="D89" s="4" t="str">
        <f>IF(R69="Pdte"," ",R69)</f>
        <v xml:space="preserve"> </v>
      </c>
      <c r="E89" s="4" t="str">
        <f>IF(F86&gt;G86,C86,IF(F86&lt;G86,D86," "))</f>
        <v xml:space="preserve"> </v>
      </c>
      <c r="F89" s="24"/>
      <c r="G89" s="25"/>
      <c r="I89" s="35"/>
      <c r="J89" s="27"/>
      <c r="K89" s="27"/>
      <c r="L89" s="27"/>
      <c r="M89" s="27"/>
      <c r="N89" s="36"/>
    </row>
    <row r="90" spans="1:18" ht="18">
      <c r="A90" s="9"/>
      <c r="B90" s="9"/>
      <c r="C90" s="9"/>
      <c r="D90" s="9"/>
      <c r="E90" s="9"/>
      <c r="F90" s="9"/>
      <c r="G90" s="9"/>
      <c r="I90" s="35"/>
      <c r="J90" s="27"/>
      <c r="K90" s="27"/>
      <c r="L90" s="27"/>
      <c r="M90" s="27"/>
      <c r="N90" s="36"/>
    </row>
    <row r="91" spans="1:18">
      <c r="A91" s="9"/>
      <c r="B91" s="9" t="s">
        <v>38</v>
      </c>
      <c r="C91" s="4" t="s">
        <v>52</v>
      </c>
      <c r="D91" s="4" t="s">
        <v>53</v>
      </c>
      <c r="E91" s="4" t="s">
        <v>16</v>
      </c>
    </row>
    <row r="92" spans="1:18" ht="18">
      <c r="A92" s="23">
        <f>A80+1.6*$O$1</f>
        <v>0.77083333333333359</v>
      </c>
      <c r="B92" s="4">
        <v>5</v>
      </c>
      <c r="C92" s="4" t="str">
        <f>IF(R68="Pdte"," ",R68)</f>
        <v xml:space="preserve"> </v>
      </c>
      <c r="D92" s="4" t="str">
        <f>IF(R79="Pdte"," ",R79)</f>
        <v xml:space="preserve"> </v>
      </c>
      <c r="E92" s="4" t="str">
        <f>IF(R64="Pdte"," ",R64)</f>
        <v xml:space="preserve"> </v>
      </c>
      <c r="F92" s="24"/>
      <c r="G92" s="25"/>
      <c r="I92" s="35"/>
      <c r="J92" s="27"/>
      <c r="K92" s="27"/>
      <c r="L92" s="27"/>
      <c r="M92" s="27"/>
      <c r="N92" s="36"/>
    </row>
    <row r="93" spans="1:18" ht="18">
      <c r="A93" s="9"/>
      <c r="B93" s="9"/>
      <c r="I93" s="35"/>
      <c r="J93" s="27"/>
      <c r="K93" s="27"/>
      <c r="L93" s="27"/>
      <c r="M93" s="27"/>
      <c r="N93" s="36"/>
    </row>
    <row r="94" spans="1:18" ht="18">
      <c r="A94" s="9"/>
      <c r="B94" s="9" t="s">
        <v>39</v>
      </c>
      <c r="C94" s="4" t="s">
        <v>54</v>
      </c>
      <c r="D94" s="4" t="s">
        <v>16</v>
      </c>
      <c r="E94" s="4" t="s">
        <v>40</v>
      </c>
      <c r="I94" s="35"/>
      <c r="J94" s="27"/>
      <c r="K94" s="27"/>
      <c r="L94" s="27"/>
      <c r="M94" s="27"/>
      <c r="N94" s="36"/>
    </row>
    <row r="95" spans="1:18" ht="18">
      <c r="A95" s="23">
        <f>A86+$O$1</f>
        <v>0.78819444444444475</v>
      </c>
      <c r="B95" s="4">
        <v>5</v>
      </c>
      <c r="C95" s="4" t="str">
        <f>IF(R73="Pdte"," ",R73)</f>
        <v xml:space="preserve"> </v>
      </c>
      <c r="D95" s="4" t="str">
        <f>IF(R64="Pdte"," ",R64)</f>
        <v xml:space="preserve"> </v>
      </c>
      <c r="E95" s="4" t="str">
        <f>IF(F92&gt;G92,C92,IF(F92&lt;G92,D92," "))</f>
        <v xml:space="preserve"> </v>
      </c>
      <c r="F95" s="24"/>
      <c r="G95" s="25"/>
      <c r="I95" s="35"/>
      <c r="J95" s="27"/>
      <c r="K95" s="27"/>
      <c r="L95" s="27"/>
      <c r="M95" s="27"/>
      <c r="N95" s="36"/>
    </row>
    <row r="96" spans="1:18" ht="18">
      <c r="A96" s="37"/>
      <c r="B96" s="27"/>
      <c r="F96" s="38"/>
      <c r="G96" s="38"/>
      <c r="I96" s="35"/>
      <c r="J96" s="27"/>
      <c r="K96" s="27"/>
      <c r="L96" s="27"/>
      <c r="M96" s="27"/>
      <c r="N96" s="36"/>
    </row>
    <row r="97" spans="1:19" ht="18">
      <c r="A97" s="9"/>
      <c r="B97" s="9" t="s">
        <v>15</v>
      </c>
      <c r="C97" s="4" t="s">
        <v>37</v>
      </c>
      <c r="D97" s="4" t="s">
        <v>41</v>
      </c>
      <c r="E97" s="4" t="s">
        <v>42</v>
      </c>
      <c r="I97" s="35"/>
      <c r="J97" s="27"/>
      <c r="K97" s="27"/>
      <c r="L97" s="27"/>
      <c r="M97" s="27"/>
      <c r="N97" s="36"/>
    </row>
    <row r="98" spans="1:19">
      <c r="A98" s="23">
        <f>A89+$O$1</f>
        <v>0.80555555555555591</v>
      </c>
      <c r="B98" s="4">
        <v>2</v>
      </c>
      <c r="C98" s="4" t="str">
        <f>IF(F86&gt;G86,C86,IF(F86&lt;G86,D86," "))</f>
        <v xml:space="preserve"> </v>
      </c>
      <c r="D98" s="4" t="str">
        <f>IF(F89&gt;G89,C89,IF(F89&lt;G89,D89," "))</f>
        <v xml:space="preserve"> </v>
      </c>
      <c r="E98" s="4" t="str">
        <f>IF(F89&gt;G89,D89,IF(F89&lt;G89,C89," "))</f>
        <v xml:space="preserve"> </v>
      </c>
      <c r="F98" s="24"/>
      <c r="G98" s="25"/>
    </row>
    <row r="99" spans="1:19">
      <c r="A99" s="9"/>
      <c r="B99" s="9"/>
    </row>
    <row r="100" spans="1:19">
      <c r="A100" s="9"/>
      <c r="B100" t="s">
        <v>43</v>
      </c>
      <c r="C100" s="4" t="s">
        <v>40</v>
      </c>
      <c r="D100" s="4" t="s">
        <v>44</v>
      </c>
      <c r="E100" s="4" t="s">
        <v>45</v>
      </c>
    </row>
    <row r="101" spans="1:19">
      <c r="A101" s="23">
        <f>A89+$O$1</f>
        <v>0.80555555555555591</v>
      </c>
      <c r="B101" s="4">
        <v>5</v>
      </c>
      <c r="C101" s="4" t="str">
        <f>IF(F92&gt;G92,C92,IF(F92&lt;G92,D92," "))</f>
        <v xml:space="preserve"> </v>
      </c>
      <c r="D101" s="4" t="str">
        <f>IF(F95&gt;G95,C95,IF(F95&lt;G95,D95," "))</f>
        <v xml:space="preserve"> </v>
      </c>
      <c r="E101" s="4" t="str">
        <f>IF(F95&gt;G95,D95,IF(F95&lt;G95,C95," "))</f>
        <v xml:space="preserve"> </v>
      </c>
      <c r="F101" s="24"/>
      <c r="G101" s="25"/>
    </row>
    <row r="102" spans="1:19">
      <c r="A102" s="9"/>
      <c r="B102" s="9"/>
    </row>
    <row r="103" spans="1:19">
      <c r="A103" s="9"/>
      <c r="B103" s="9" t="s">
        <v>18</v>
      </c>
      <c r="C103" s="4" t="s">
        <v>19</v>
      </c>
      <c r="D103" s="4" t="s">
        <v>46</v>
      </c>
      <c r="E103" s="4" t="s">
        <v>146</v>
      </c>
    </row>
    <row r="104" spans="1:19">
      <c r="A104" s="23">
        <f>A98+$O$1</f>
        <v>0.82291666666666707</v>
      </c>
      <c r="B104" s="26">
        <v>2</v>
      </c>
      <c r="C104" s="4" t="str">
        <f>IF(F98&gt;G98,C98,IF(F98&lt;G98,D98," "))</f>
        <v xml:space="preserve"> </v>
      </c>
      <c r="D104" s="4" t="str">
        <f>IF(F101&gt;G101,C101,IF(F101&lt;G101,D101," "))</f>
        <v xml:space="preserve"> </v>
      </c>
      <c r="E104" s="4" t="str">
        <f>IF(F98&gt;G98,D98,IF(F98&lt;G98,C98," "))</f>
        <v xml:space="preserve"> </v>
      </c>
      <c r="F104" s="24"/>
      <c r="G104" s="25"/>
    </row>
    <row r="107" spans="1:19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</row>
    <row r="109" spans="1:19">
      <c r="A109" s="22" t="s">
        <v>65</v>
      </c>
    </row>
    <row r="110" spans="1:19" ht="18">
      <c r="A110" s="4" t="s">
        <v>2</v>
      </c>
      <c r="B110" s="4" t="s">
        <v>3</v>
      </c>
      <c r="C110" s="10" t="s">
        <v>4</v>
      </c>
      <c r="D110" s="10" t="s">
        <v>5</v>
      </c>
      <c r="E110" s="4" t="s">
        <v>14</v>
      </c>
      <c r="F110" s="10" t="s">
        <v>7</v>
      </c>
      <c r="G110" s="10" t="s">
        <v>7</v>
      </c>
      <c r="H110" s="11"/>
      <c r="I110" s="7" t="s">
        <v>8</v>
      </c>
      <c r="J110" s="9" t="s">
        <v>23</v>
      </c>
      <c r="K110" s="4" t="s">
        <v>9</v>
      </c>
      <c r="L110" s="4" t="s">
        <v>10</v>
      </c>
      <c r="M110" s="4" t="s">
        <v>11</v>
      </c>
      <c r="N110" s="10" t="s">
        <v>12</v>
      </c>
      <c r="O110" s="10" t="s">
        <v>26</v>
      </c>
      <c r="P110" s="11"/>
      <c r="Q110" s="4" t="s">
        <v>13</v>
      </c>
      <c r="R110" s="4" t="s">
        <v>23</v>
      </c>
    </row>
    <row r="111" spans="1:19" ht="18">
      <c r="A111" s="8">
        <f>$L$2</f>
        <v>0.65625</v>
      </c>
      <c r="B111" s="4">
        <f>M4</f>
        <v>3</v>
      </c>
      <c r="C111" s="10" t="str">
        <f>J111</f>
        <v>VIDAL - DE FILIPPI</v>
      </c>
      <c r="D111" s="10" t="str">
        <f>J113</f>
        <v>AGUILO - CLANCHET</v>
      </c>
      <c r="E111" s="4" t="str">
        <f>J112</f>
        <v>NEWSOME - CUEVAS</v>
      </c>
      <c r="F111" s="41"/>
      <c r="G111" s="41"/>
      <c r="I111" s="7">
        <f>RANK(O111,O111:O113,0)</f>
        <v>1</v>
      </c>
      <c r="J111" s="10" t="str">
        <f>IF(R10="Pdte","3r Grup 1 Matí",R12)</f>
        <v>VIDAL - DE FILIPPI</v>
      </c>
      <c r="K111" s="4">
        <f>(IF(F111&gt;G111,1,IF(F111&lt;G111,0,))+(IF(F113&gt;G113,1,IF(F113&lt;G113,0,))))</f>
        <v>0</v>
      </c>
      <c r="L111" s="4">
        <f>F111+F113</f>
        <v>0</v>
      </c>
      <c r="M111" s="4">
        <f>G111+G113</f>
        <v>0</v>
      </c>
      <c r="N111" s="20" t="str">
        <f>IFERROR(L111/M111,"Max")</f>
        <v>Max</v>
      </c>
      <c r="O111" s="20">
        <f>IF(N111="Max",400,(K111*100)+N111)</f>
        <v>400</v>
      </c>
      <c r="P111" s="11"/>
      <c r="Q111" s="21">
        <v>1</v>
      </c>
      <c r="R111" s="7" t="str">
        <f>IF($K111+$K112+$K113=3,INDEX(J111:J113,MATCH($Q111,I111:I113,0)),"Pdte")</f>
        <v>Pdte</v>
      </c>
    </row>
    <row r="112" spans="1:19" ht="18">
      <c r="A112" s="8">
        <f>A116+$O$1</f>
        <v>0.67361111111111116</v>
      </c>
      <c r="B112" s="4">
        <f>M4</f>
        <v>3</v>
      </c>
      <c r="C112" s="10" t="str">
        <f>J112</f>
        <v>NEWSOME - CUEVAS</v>
      </c>
      <c r="D112" s="10" t="str">
        <f>J113</f>
        <v>AGUILO - CLANCHET</v>
      </c>
      <c r="E112" s="4" t="str">
        <f>J111</f>
        <v>VIDAL - DE FILIPPI</v>
      </c>
      <c r="F112" s="41"/>
      <c r="G112" s="41"/>
      <c r="I112" s="7">
        <f>RANK(O112,O111:O113,0)</f>
        <v>1</v>
      </c>
      <c r="J112" s="10" t="str">
        <f>IF(R44="Pdte","4t Grup 5 Matí",R47)</f>
        <v>NEWSOME - CUEVAS</v>
      </c>
      <c r="K112" s="4">
        <f>(IF(F112&gt;G112,1,IF(F112&lt;G112,0,))+(IF(G113&gt;F113,1,IF(G113&lt;F113,0,))))</f>
        <v>0</v>
      </c>
      <c r="L112" s="4">
        <f>F112+G113</f>
        <v>0</v>
      </c>
      <c r="M112" s="4">
        <f>G112+F113</f>
        <v>0</v>
      </c>
      <c r="N112" s="20" t="str">
        <f>IFERROR(L112/M112,"Max")</f>
        <v>Max</v>
      </c>
      <c r="O112" s="20">
        <f>IF(N112="Max",400,(K112*100)+N112)</f>
        <v>400</v>
      </c>
      <c r="P112" s="11"/>
      <c r="Q112" s="21">
        <v>2</v>
      </c>
      <c r="R112" s="7" t="str">
        <f>IF($K112+$K113+$K111=3,INDEX(J111:J113,MATCH($Q112,I111:I113,0)),"Pdte")</f>
        <v>Pdte</v>
      </c>
    </row>
    <row r="113" spans="1:18" ht="18">
      <c r="A113" s="8">
        <f>A117+$O$1</f>
        <v>0.70833333333333348</v>
      </c>
      <c r="B113" s="4">
        <f>M4</f>
        <v>3</v>
      </c>
      <c r="C113" s="10" t="str">
        <f>J111</f>
        <v>VIDAL - DE FILIPPI</v>
      </c>
      <c r="D113" s="10" t="str">
        <f>J112</f>
        <v>NEWSOME - CUEVAS</v>
      </c>
      <c r="E113" s="4" t="str">
        <f>J113</f>
        <v>AGUILO - CLANCHET</v>
      </c>
      <c r="F113" s="41"/>
      <c r="G113" s="41"/>
      <c r="I113" s="7">
        <f>RANK(O113,O111:O113,0)</f>
        <v>1</v>
      </c>
      <c r="J113" s="10" t="str">
        <f>IF(R35="Pdte","4t Grup 4 Matí",R38)</f>
        <v>AGUILO - CLANCHET</v>
      </c>
      <c r="K113" s="4">
        <f>(IF(G111&gt;F111,1,IF(G111&lt;F111,0,))+(IF(G112&gt;F112,1,IF(G112&lt;F112,0,))))</f>
        <v>0</v>
      </c>
      <c r="L113" s="4">
        <f>G111+G112</f>
        <v>0</v>
      </c>
      <c r="M113" s="4">
        <f>F111+F112</f>
        <v>0</v>
      </c>
      <c r="N113" s="20" t="str">
        <f>IFERROR(L113/M113,"Max")</f>
        <v>Max</v>
      </c>
      <c r="O113" s="20">
        <f>IF(N113="Max",400,(K113*100)+N113)</f>
        <v>400</v>
      </c>
      <c r="P113" s="11"/>
      <c r="Q113" s="21">
        <v>3</v>
      </c>
      <c r="R113" s="7" t="str">
        <f>IF($K113+$K112+$K111=3,INDEX(J111:J113,MATCH($Q113,I111:I113,0)),"Pdte")</f>
        <v>Pdte</v>
      </c>
    </row>
    <row r="114" spans="1:18">
      <c r="C114" s="11"/>
      <c r="D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8" ht="18">
      <c r="A115" s="4" t="s">
        <v>2</v>
      </c>
      <c r="B115" s="4" t="s">
        <v>3</v>
      </c>
      <c r="C115" s="10" t="s">
        <v>4</v>
      </c>
      <c r="D115" s="10" t="s">
        <v>5</v>
      </c>
      <c r="E115" s="4" t="s">
        <v>14</v>
      </c>
      <c r="F115" s="10" t="s">
        <v>7</v>
      </c>
      <c r="G115" s="10" t="s">
        <v>7</v>
      </c>
      <c r="H115" s="11"/>
      <c r="I115" s="7" t="s">
        <v>8</v>
      </c>
      <c r="J115" s="9" t="s">
        <v>25</v>
      </c>
      <c r="K115" s="4" t="s">
        <v>9</v>
      </c>
      <c r="L115" s="4" t="s">
        <v>10</v>
      </c>
      <c r="M115" s="4" t="s">
        <v>11</v>
      </c>
      <c r="N115" s="10" t="s">
        <v>12</v>
      </c>
      <c r="O115" s="10" t="s">
        <v>26</v>
      </c>
      <c r="P115" s="11"/>
      <c r="Q115" s="4" t="s">
        <v>13</v>
      </c>
      <c r="R115" s="4" t="s">
        <v>25</v>
      </c>
    </row>
    <row r="116" spans="1:18" ht="18">
      <c r="A116" s="8">
        <f>A111+$O49</f>
        <v>0.65625</v>
      </c>
      <c r="B116" s="4">
        <f>M4</f>
        <v>3</v>
      </c>
      <c r="C116" s="10" t="str">
        <f>J116</f>
        <v>MILKO - FERRER</v>
      </c>
      <c r="D116" s="10" t="str">
        <f>J118</f>
        <v>ROIG - CALLEJO</v>
      </c>
      <c r="E116" s="4" t="str">
        <f>J117</f>
        <v>MAS - ENAMORADO</v>
      </c>
      <c r="F116" s="39"/>
      <c r="G116" s="39"/>
      <c r="I116" s="7">
        <f>RANK(O116,O116:O118,0)</f>
        <v>1</v>
      </c>
      <c r="J116" s="10" t="str">
        <f>IF(R19="Pdte","3r Grup 2 Matí",R21)</f>
        <v>MILKO - FERRER</v>
      </c>
      <c r="K116" s="4">
        <f>(IF(F116&gt;G116,1,IF(F116&lt;G116,0,))+(IF(F118&gt;G118,1,IF(F118&lt;G118,0,))))</f>
        <v>0</v>
      </c>
      <c r="L116" s="4">
        <f>F116+F118</f>
        <v>0</v>
      </c>
      <c r="M116" s="4">
        <f>G116+G118</f>
        <v>0</v>
      </c>
      <c r="N116" s="20" t="str">
        <f>IFERROR(L116/M116,"Max")</f>
        <v>Max</v>
      </c>
      <c r="O116" s="20">
        <f>IF(N116="Max",400,(K116*100)+N116)</f>
        <v>400</v>
      </c>
      <c r="P116" s="11"/>
      <c r="Q116" s="21">
        <v>1</v>
      </c>
      <c r="R116" s="7" t="str">
        <f>IF($K116+$K117+$K118=3,INDEX(J116:J118,MATCH($Q116,I116:I118,0)),"Pdte")</f>
        <v>Pdte</v>
      </c>
    </row>
    <row r="117" spans="1:18" ht="18">
      <c r="A117" s="8">
        <f>A112+$O$1</f>
        <v>0.69097222222222232</v>
      </c>
      <c r="B117" s="4">
        <f>M4</f>
        <v>3</v>
      </c>
      <c r="C117" s="10" t="str">
        <f>J117</f>
        <v>MAS - ENAMORADO</v>
      </c>
      <c r="D117" s="10" t="str">
        <f>J118</f>
        <v>ROIG - CALLEJO</v>
      </c>
      <c r="E117" s="4" t="str">
        <f>J116</f>
        <v>MILKO - FERRER</v>
      </c>
      <c r="F117" s="39"/>
      <c r="G117" s="39"/>
      <c r="I117" s="7">
        <f>RANK(O117,O116:O118,0)</f>
        <v>1</v>
      </c>
      <c r="J117" s="10" t="str">
        <f>IF(R52="Pdte","4t Grup 6 Matí",R55)</f>
        <v>MAS - ENAMORADO</v>
      </c>
      <c r="K117" s="4">
        <f>(IF(F117&gt;G117,1,IF(F117&lt;G117,0,))+(IF(G118&gt;F118,1,IF(G118&lt;F118,0,))))</f>
        <v>0</v>
      </c>
      <c r="L117" s="4">
        <f>F117+G118</f>
        <v>0</v>
      </c>
      <c r="M117" s="4">
        <f>G117+F118</f>
        <v>0</v>
      </c>
      <c r="N117" s="20" t="str">
        <f>IFERROR(L117/M117,"Max")</f>
        <v>Max</v>
      </c>
      <c r="O117" s="20">
        <f>IF(N117="Max",400,(K117*100)+N117)</f>
        <v>400</v>
      </c>
      <c r="P117" s="11"/>
      <c r="Q117" s="21">
        <v>2</v>
      </c>
      <c r="R117" s="7" t="str">
        <f>IF($K117+$K118+$K116=3,INDEX(J116:J118,MATCH($Q117,I116:I118,0)),"Pdte")</f>
        <v>Pdte</v>
      </c>
    </row>
    <row r="118" spans="1:18" ht="18">
      <c r="A118" s="8">
        <f>A113+$O$1</f>
        <v>0.72569444444444464</v>
      </c>
      <c r="B118" s="4">
        <f>M4</f>
        <v>3</v>
      </c>
      <c r="C118" s="10" t="str">
        <f>J116</f>
        <v>MILKO - FERRER</v>
      </c>
      <c r="D118" s="10" t="str">
        <f>J117</f>
        <v>MAS - ENAMORADO</v>
      </c>
      <c r="E118" s="4" t="str">
        <f>J118</f>
        <v>ROIG - CALLEJO</v>
      </c>
      <c r="F118" s="39"/>
      <c r="G118" s="39"/>
      <c r="I118" s="7">
        <f>RANK(O118,O116:O118,0)</f>
        <v>1</v>
      </c>
      <c r="J118" s="10" t="str">
        <f>IF(R27="Pdte","4t Grup 3 Matí",R30)</f>
        <v>ROIG - CALLEJO</v>
      </c>
      <c r="K118" s="4">
        <f>(IF(G116&gt;F116,1,IF(G116&lt;F116,0,))+(IF(G117&gt;F117,1,IF(G117&lt;F117,0,))))</f>
        <v>0</v>
      </c>
      <c r="L118" s="4">
        <f>G116+G117</f>
        <v>0</v>
      </c>
      <c r="M118" s="4">
        <f>F116+F117</f>
        <v>0</v>
      </c>
      <c r="N118" s="20" t="str">
        <f>IFERROR(L118/M118,"Max")</f>
        <v>Max</v>
      </c>
      <c r="O118" s="20">
        <f>IF(N118="Max",400,(K118*100)+N118)</f>
        <v>400</v>
      </c>
      <c r="P118" s="11"/>
      <c r="Q118" s="21">
        <v>3</v>
      </c>
      <c r="R118" s="7" t="str">
        <f>IF($K118+$K117+$K116=3,INDEX(J116:J118,MATCH($Q118,I116:I118,0)),"Pdte")</f>
        <v>Pdte</v>
      </c>
    </row>
    <row r="119" spans="1:18">
      <c r="C119" s="11"/>
      <c r="D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 ht="18">
      <c r="A120" s="4" t="s">
        <v>2</v>
      </c>
      <c r="B120" s="4" t="s">
        <v>3</v>
      </c>
      <c r="C120" s="10" t="s">
        <v>4</v>
      </c>
      <c r="D120" s="10" t="s">
        <v>5</v>
      </c>
      <c r="E120" s="4" t="s">
        <v>14</v>
      </c>
      <c r="F120" s="10" t="s">
        <v>7</v>
      </c>
      <c r="G120" s="10" t="s">
        <v>7</v>
      </c>
      <c r="H120" s="11"/>
      <c r="I120" s="7" t="s">
        <v>8</v>
      </c>
      <c r="J120" s="9" t="s">
        <v>27</v>
      </c>
      <c r="K120" s="4" t="s">
        <v>9</v>
      </c>
      <c r="L120" s="4" t="s">
        <v>10</v>
      </c>
      <c r="M120" s="4" t="s">
        <v>11</v>
      </c>
      <c r="N120" s="10" t="s">
        <v>12</v>
      </c>
      <c r="O120" s="10" t="s">
        <v>26</v>
      </c>
      <c r="P120" s="11"/>
      <c r="Q120" s="4" t="s">
        <v>13</v>
      </c>
      <c r="R120" s="4" t="s">
        <v>27</v>
      </c>
    </row>
    <row r="121" spans="1:18" ht="18">
      <c r="A121" s="8">
        <f>L2</f>
        <v>0.65625</v>
      </c>
      <c r="B121" s="4">
        <f>M5</f>
        <v>4</v>
      </c>
      <c r="C121" s="10" t="str">
        <f>J121</f>
        <v>DE LERA - GUSPI</v>
      </c>
      <c r="D121" s="10" t="str">
        <f>J123</f>
        <v>CAMA - SERRA</v>
      </c>
      <c r="E121" s="4" t="str">
        <f>J122</f>
        <v>GONZALEZ - PUDDU</v>
      </c>
      <c r="F121" s="39"/>
      <c r="G121" s="39"/>
      <c r="I121" s="7">
        <f>RANK(O121,O121:O123,0)</f>
        <v>1</v>
      </c>
      <c r="J121" s="10" t="str">
        <f>IF(R27="Pdte","3r Grup 3 Matí",R29)</f>
        <v>DE LERA - GUSPI</v>
      </c>
      <c r="K121" s="4">
        <f>(IF(F121&gt;G121,1,IF(F121&lt;G121,0,))+(IF(F123&gt;G123,1,IF(F123&lt;G123,0,))))</f>
        <v>0</v>
      </c>
      <c r="L121" s="4">
        <f>F121+F123</f>
        <v>0</v>
      </c>
      <c r="M121" s="4">
        <f>G121+G123</f>
        <v>0</v>
      </c>
      <c r="N121" s="20" t="str">
        <f>IFERROR(L121/M121,"Max")</f>
        <v>Max</v>
      </c>
      <c r="O121" s="20">
        <f>IF(N121="Max",400,(K121*100)+N121)</f>
        <v>400</v>
      </c>
      <c r="P121" s="11"/>
      <c r="Q121" s="21">
        <v>1</v>
      </c>
      <c r="R121" s="7" t="str">
        <f>IF($K121+$K122+$K123=3,INDEX(J121:J123,MATCH($Q121,I121:I123,0)),"Pdte")</f>
        <v>Pdte</v>
      </c>
    </row>
    <row r="122" spans="1:18" ht="18">
      <c r="A122" s="8">
        <f>A126+$O$1</f>
        <v>0.69097222222222232</v>
      </c>
      <c r="B122" s="4">
        <f>M5</f>
        <v>4</v>
      </c>
      <c r="C122" s="10" t="str">
        <f>J122</f>
        <v>GONZALEZ - PUDDU</v>
      </c>
      <c r="D122" s="10" t="str">
        <f>J123</f>
        <v>CAMA - SERRA</v>
      </c>
      <c r="E122" s="4" t="str">
        <f>J121</f>
        <v>DE LERA - GUSPI</v>
      </c>
      <c r="F122" s="40"/>
      <c r="G122" s="40"/>
      <c r="I122" s="7">
        <f>RANK(O122,O121:O123,0)</f>
        <v>1</v>
      </c>
      <c r="J122" s="10" t="str">
        <f>IF(R52="Pdte","3r Grup 6 Matí",R54)</f>
        <v>GONZALEZ - PUDDU</v>
      </c>
      <c r="K122" s="4">
        <f>(IF(F122&gt;G122,1,IF(F122&lt;G122,0,))+(IF(G123&gt;F123,1,IF(G123&lt;F123,0,))))</f>
        <v>0</v>
      </c>
      <c r="L122" s="4">
        <f>F122+G123</f>
        <v>0</v>
      </c>
      <c r="M122" s="4">
        <f>G122+F123</f>
        <v>0</v>
      </c>
      <c r="N122" s="20" t="str">
        <f>IFERROR(L122/M122,"Max")</f>
        <v>Max</v>
      </c>
      <c r="O122" s="20">
        <f>IF(N122="Max",400,(K122*100)+N122)</f>
        <v>400</v>
      </c>
      <c r="P122" s="11"/>
      <c r="Q122" s="21">
        <v>2</v>
      </c>
      <c r="R122" s="7" t="str">
        <f>IF($K122+$K123+$K121=3,INDEX(J121:J123,MATCH($Q122,I121:I123,0)),"Pdte")</f>
        <v>Pdte</v>
      </c>
    </row>
    <row r="123" spans="1:18" ht="18">
      <c r="A123" s="8">
        <f>A127+$O$1</f>
        <v>0.72569444444444464</v>
      </c>
      <c r="B123" s="4">
        <f>M5</f>
        <v>4</v>
      </c>
      <c r="C123" s="10" t="str">
        <f>J121</f>
        <v>DE LERA - GUSPI</v>
      </c>
      <c r="D123" s="10" t="str">
        <f>J122</f>
        <v>GONZALEZ - PUDDU</v>
      </c>
      <c r="E123" s="4" t="str">
        <f>J123</f>
        <v>CAMA - SERRA</v>
      </c>
      <c r="F123" s="40"/>
      <c r="G123" s="40"/>
      <c r="I123" s="7">
        <f>RANK(O123,O121:O123,0)</f>
        <v>1</v>
      </c>
      <c r="J123" s="10" t="str">
        <f>IF(R19="Pdte","4t Grup 2 Matí",R22)</f>
        <v>CAMA - SERRA</v>
      </c>
      <c r="K123" s="4">
        <f>(IF(G121&gt;F121,1,IF(G121&lt;F121,0,))+(IF(G122&gt;F122,1,IF(G122&lt;F122,0,))))</f>
        <v>0</v>
      </c>
      <c r="L123" s="4">
        <f>G121+G122</f>
        <v>0</v>
      </c>
      <c r="M123" s="4">
        <f>F121+F122</f>
        <v>0</v>
      </c>
      <c r="N123" s="20" t="str">
        <f>IFERROR(L123/M123,"Max")</f>
        <v>Max</v>
      </c>
      <c r="O123" s="20">
        <f>IF(N123="Max",400,(K123*100)+N123)</f>
        <v>400</v>
      </c>
      <c r="P123" s="11"/>
      <c r="Q123" s="21">
        <v>3</v>
      </c>
      <c r="R123" s="7" t="str">
        <f>IF($K123+$K122+$K121=3,INDEX(J121:J123,MATCH($Q123,I121:I123,0)),"Pdte")</f>
        <v>Pdte</v>
      </c>
    </row>
    <row r="124" spans="1:18">
      <c r="C124" s="11"/>
      <c r="D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 ht="18">
      <c r="A125" s="4" t="s">
        <v>2</v>
      </c>
      <c r="B125" s="4" t="s">
        <v>3</v>
      </c>
      <c r="C125" s="10" t="s">
        <v>4</v>
      </c>
      <c r="D125" s="10" t="s">
        <v>5</v>
      </c>
      <c r="E125" s="4" t="s">
        <v>14</v>
      </c>
      <c r="F125" s="10" t="s">
        <v>7</v>
      </c>
      <c r="G125" s="10" t="s">
        <v>7</v>
      </c>
      <c r="H125" s="11"/>
      <c r="I125" s="7" t="s">
        <v>8</v>
      </c>
      <c r="J125" s="9" t="s">
        <v>28</v>
      </c>
      <c r="K125" s="4" t="s">
        <v>9</v>
      </c>
      <c r="L125" s="4" t="s">
        <v>10</v>
      </c>
      <c r="M125" s="4" t="s">
        <v>11</v>
      </c>
      <c r="N125" s="10" t="s">
        <v>12</v>
      </c>
      <c r="O125" s="10" t="s">
        <v>26</v>
      </c>
      <c r="P125" s="11"/>
      <c r="Q125" s="4" t="s">
        <v>13</v>
      </c>
      <c r="R125" s="4" t="s">
        <v>28</v>
      </c>
    </row>
    <row r="126" spans="1:18" ht="18">
      <c r="A126" s="8">
        <f>A121+$O$1</f>
        <v>0.67361111111111116</v>
      </c>
      <c r="B126" s="4">
        <f>M5</f>
        <v>4</v>
      </c>
      <c r="C126" s="10" t="str">
        <f>J126</f>
        <v>ESCURA - SANCHEZ</v>
      </c>
      <c r="D126" s="10" t="str">
        <f>J128</f>
        <v>MOLET - TODOROVA</v>
      </c>
      <c r="E126" s="4" t="str">
        <f>J127</f>
        <v>BELMONTE - GRACIA</v>
      </c>
      <c r="F126" s="39"/>
      <c r="G126" s="39"/>
      <c r="I126" s="7">
        <f>RANK(O126,O126:O128,0)</f>
        <v>1</v>
      </c>
      <c r="J126" s="10" t="str">
        <f>IF(R35="Pdte","3r Grup 4 Matí",R37)</f>
        <v>ESCURA - SANCHEZ</v>
      </c>
      <c r="K126" s="4">
        <f>(IF(F126&gt;G126,1,IF(F126&lt;G126,0,))+(IF(F128&gt;G128,1,IF(F128&lt;G128,0,))))</f>
        <v>0</v>
      </c>
      <c r="L126" s="4">
        <f>F126+F128</f>
        <v>0</v>
      </c>
      <c r="M126" s="4">
        <f>G126+G128</f>
        <v>0</v>
      </c>
      <c r="N126" s="20" t="str">
        <f>IFERROR(L126/M126,"Max")</f>
        <v>Max</v>
      </c>
      <c r="O126" s="20">
        <f>IF(N126="Max",400,(K126*100)+N126)</f>
        <v>400</v>
      </c>
      <c r="P126" s="11"/>
      <c r="Q126" s="21">
        <v>1</v>
      </c>
      <c r="R126" s="7" t="str">
        <f>IF($K126+$K127+$K128=3,INDEX(J126:J128,MATCH($Q126,I126:I128,0)),"Pdte")</f>
        <v>Pdte</v>
      </c>
    </row>
    <row r="127" spans="1:18" ht="18">
      <c r="A127" s="8">
        <f>A122+$O$1</f>
        <v>0.70833333333333348</v>
      </c>
      <c r="B127" s="4">
        <f>M5</f>
        <v>4</v>
      </c>
      <c r="C127" s="10" t="str">
        <f>J127</f>
        <v>BELMONTE - GRACIA</v>
      </c>
      <c r="D127" s="10" t="str">
        <f>J128</f>
        <v>MOLET - TODOROVA</v>
      </c>
      <c r="E127" s="4" t="str">
        <f>J126</f>
        <v>ESCURA - SANCHEZ</v>
      </c>
      <c r="F127" s="39"/>
      <c r="G127" s="39"/>
      <c r="I127" s="7">
        <f>RANK(O127,O126:O128,0)</f>
        <v>1</v>
      </c>
      <c r="J127" s="10" t="str">
        <f>IF(R44="Pdte","3r Grup 5 Matí",R46)</f>
        <v>BELMONTE - GRACIA</v>
      </c>
      <c r="K127" s="4">
        <f>(IF(F127&gt;G127,1,IF(F127&lt;G127,0,))+(IF(G128&gt;F128,1,IF(G128&lt;F128,0,))))</f>
        <v>0</v>
      </c>
      <c r="L127" s="4">
        <f>F127+G128</f>
        <v>0</v>
      </c>
      <c r="M127" s="4">
        <f>G127+F128</f>
        <v>0</v>
      </c>
      <c r="N127" s="20" t="str">
        <f>IFERROR(L127/M127,"Max")</f>
        <v>Max</v>
      </c>
      <c r="O127" s="20">
        <f>IF(N127="Max",400,(K127*100)+N127)</f>
        <v>400</v>
      </c>
      <c r="P127" s="11"/>
      <c r="Q127" s="21">
        <v>2</v>
      </c>
      <c r="R127" s="7" t="str">
        <f>IF($K127+$K128+$K126=3,INDEX(J126:J128,MATCH($Q127,I126:I128,0)),"Pdte")</f>
        <v>Pdte</v>
      </c>
    </row>
    <row r="128" spans="1:18" ht="18">
      <c r="A128" s="8">
        <f>A123+$O$1</f>
        <v>0.7430555555555558</v>
      </c>
      <c r="B128" s="4">
        <f>M5</f>
        <v>4</v>
      </c>
      <c r="C128" s="10" t="str">
        <f>J126</f>
        <v>ESCURA - SANCHEZ</v>
      </c>
      <c r="D128" s="10" t="str">
        <f>J127</f>
        <v>BELMONTE - GRACIA</v>
      </c>
      <c r="E128" s="4" t="str">
        <f>J128</f>
        <v>MOLET - TODOROVA</v>
      </c>
      <c r="F128" s="39"/>
      <c r="G128" s="39"/>
      <c r="I128" s="7">
        <f>RANK(O128,O126:O128,0)</f>
        <v>1</v>
      </c>
      <c r="J128" s="10" t="str">
        <f>IF(R10="Pdte","4t Grup 1 Matí",R13)</f>
        <v>MOLET - TODOROVA</v>
      </c>
      <c r="K128" s="4">
        <f>(IF(G126&gt;F126,1,IF(G126&lt;F126,0,))+(IF(G127&gt;F127,1,IF(G127&lt;F127,0,))))</f>
        <v>0</v>
      </c>
      <c r="L128" s="4">
        <f>G126+G127</f>
        <v>0</v>
      </c>
      <c r="M128" s="4">
        <f>F126+F127</f>
        <v>0</v>
      </c>
      <c r="N128" s="20" t="str">
        <f>IFERROR(L128/M128,"Max")</f>
        <v>Max</v>
      </c>
      <c r="O128" s="20">
        <f>IF(N128="Max",400,(K128*100)+N128)</f>
        <v>400</v>
      </c>
      <c r="P128" s="11"/>
      <c r="Q128" s="21">
        <v>3</v>
      </c>
      <c r="R128" s="7" t="str">
        <f>IF($K128+$K127+$K126=3,INDEX(J126:J128,MATCH($Q128,I126:I128,0)),"Pdte")</f>
        <v>Pdte</v>
      </c>
    </row>
    <row r="129" spans="1:18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>
      <c r="A130" s="22" t="s">
        <v>66</v>
      </c>
    </row>
    <row r="131" spans="1:18">
      <c r="A131" s="4" t="s">
        <v>2</v>
      </c>
      <c r="B131" s="4" t="s">
        <v>3</v>
      </c>
      <c r="C131" s="4" t="s">
        <v>4</v>
      </c>
      <c r="D131" s="4" t="s">
        <v>5</v>
      </c>
      <c r="E131" s="4" t="s">
        <v>14</v>
      </c>
      <c r="F131" s="4" t="s">
        <v>7</v>
      </c>
      <c r="G131" s="4" t="s">
        <v>7</v>
      </c>
    </row>
    <row r="132" spans="1:18">
      <c r="A132" s="9"/>
      <c r="B132" s="9"/>
      <c r="C132" s="9"/>
      <c r="D132" s="9"/>
      <c r="E132" s="9"/>
      <c r="F132" s="9"/>
      <c r="G132" s="9"/>
    </row>
    <row r="133" spans="1:18">
      <c r="A133" s="9"/>
      <c r="B133" s="9" t="s">
        <v>35</v>
      </c>
      <c r="C133" s="4" t="s">
        <v>17</v>
      </c>
      <c r="D133" s="4" t="s">
        <v>49</v>
      </c>
      <c r="E133" s="4" t="s">
        <v>50</v>
      </c>
    </row>
    <row r="134" spans="1:18" ht="18">
      <c r="A134" s="23">
        <f>A128+0.0245</f>
        <v>0.76755555555555577</v>
      </c>
      <c r="B134" s="4">
        <f>M4</f>
        <v>3</v>
      </c>
      <c r="C134" s="4" t="str">
        <f>IF(R111="Pdte"," ",R111)</f>
        <v xml:space="preserve"> </v>
      </c>
      <c r="D134" s="4" t="str">
        <f>IF(R122="Pdte"," ",R122)</f>
        <v xml:space="preserve"> </v>
      </c>
      <c r="E134" s="4" t="str">
        <f>IF(R117="Pdte"," ",R117)</f>
        <v xml:space="preserve"> </v>
      </c>
      <c r="F134" s="24"/>
      <c r="G134" s="25"/>
      <c r="I134" s="35"/>
      <c r="J134" s="27"/>
      <c r="K134" s="27"/>
      <c r="L134" s="27"/>
      <c r="M134" s="27"/>
      <c r="N134" s="36"/>
    </row>
    <row r="135" spans="1:18" ht="18">
      <c r="A135" s="9"/>
      <c r="B135" s="9"/>
      <c r="I135" s="35"/>
      <c r="J135" s="27"/>
      <c r="K135" s="27"/>
      <c r="L135" s="27"/>
      <c r="M135" s="27"/>
      <c r="N135" s="36"/>
    </row>
    <row r="136" spans="1:18" ht="18">
      <c r="A136" s="9"/>
      <c r="B136" s="9" t="s">
        <v>36</v>
      </c>
      <c r="C136" s="4" t="s">
        <v>67</v>
      </c>
      <c r="D136" s="4" t="s">
        <v>50</v>
      </c>
      <c r="E136" s="4" t="s">
        <v>37</v>
      </c>
      <c r="I136" s="35"/>
      <c r="J136" s="27"/>
      <c r="K136" s="27"/>
      <c r="L136" s="27"/>
      <c r="M136" s="27"/>
      <c r="N136" s="36"/>
    </row>
    <row r="137" spans="1:18" ht="18">
      <c r="A137" s="23">
        <f>A134+0.0175</f>
        <v>0.78505555555555573</v>
      </c>
      <c r="B137" s="4">
        <f>M4</f>
        <v>3</v>
      </c>
      <c r="C137" s="4" t="str">
        <f>IF(R126="Pdte"," ",R126)</f>
        <v xml:space="preserve"> </v>
      </c>
      <c r="D137" s="4" t="str">
        <f>IF(R117="Pdte"," ",R117)</f>
        <v xml:space="preserve"> </v>
      </c>
      <c r="E137" s="4" t="str">
        <f>IF(F134&gt;G134,C134,IF(F134&lt;G134,D134," "))</f>
        <v xml:space="preserve"> </v>
      </c>
      <c r="F137" s="24"/>
      <c r="G137" s="25"/>
      <c r="I137" s="35"/>
      <c r="J137" s="27"/>
      <c r="K137" s="27"/>
      <c r="L137" s="27"/>
      <c r="M137" s="27"/>
      <c r="N137" s="36"/>
    </row>
    <row r="138" spans="1:18" ht="18">
      <c r="A138" s="9"/>
      <c r="B138" s="9"/>
      <c r="C138" s="9"/>
      <c r="D138" s="9"/>
      <c r="E138" s="9"/>
      <c r="F138" s="9"/>
      <c r="G138" s="9"/>
      <c r="I138" s="35"/>
      <c r="J138" s="27"/>
      <c r="K138" s="27"/>
      <c r="L138" s="27"/>
      <c r="M138" s="27"/>
      <c r="N138" s="36"/>
    </row>
    <row r="139" spans="1:18">
      <c r="A139" s="9"/>
      <c r="B139" s="9" t="s">
        <v>38</v>
      </c>
      <c r="C139" s="4" t="s">
        <v>52</v>
      </c>
      <c r="D139" s="4" t="s">
        <v>53</v>
      </c>
      <c r="E139" s="4" t="s">
        <v>16</v>
      </c>
    </row>
    <row r="140" spans="1:18" ht="18">
      <c r="A140" s="23">
        <f>A128+0.0245</f>
        <v>0.76755555555555577</v>
      </c>
      <c r="B140" s="4">
        <f>M5</f>
        <v>4</v>
      </c>
      <c r="C140" s="4" t="str">
        <f>IF(R116="Pdte"," ",R116)</f>
        <v xml:space="preserve"> </v>
      </c>
      <c r="D140" s="4" t="str">
        <f>IF(R127="Pdte"," ",R127)</f>
        <v xml:space="preserve"> </v>
      </c>
      <c r="E140" s="4" t="str">
        <f>IF(R112="Pdte"," ",R112)</f>
        <v xml:space="preserve"> </v>
      </c>
      <c r="F140" s="24"/>
      <c r="G140" s="25"/>
      <c r="I140" s="35"/>
      <c r="J140" s="27"/>
      <c r="K140" s="27"/>
      <c r="L140" s="27"/>
      <c r="M140" s="27"/>
      <c r="N140" s="36"/>
    </row>
    <row r="141" spans="1:18" ht="18">
      <c r="A141" s="9"/>
      <c r="B141" s="9"/>
      <c r="I141" s="35"/>
      <c r="J141" s="27"/>
      <c r="K141" s="27"/>
      <c r="L141" s="27"/>
      <c r="M141" s="27"/>
      <c r="N141" s="36"/>
    </row>
    <row r="142" spans="1:18" ht="18">
      <c r="A142" s="9"/>
      <c r="B142" s="9" t="s">
        <v>39</v>
      </c>
      <c r="C142" s="4" t="s">
        <v>68</v>
      </c>
      <c r="D142" s="4" t="s">
        <v>16</v>
      </c>
      <c r="E142" s="4" t="s">
        <v>40</v>
      </c>
      <c r="I142" s="35"/>
      <c r="J142" s="27"/>
      <c r="K142" s="27"/>
      <c r="L142" s="27"/>
      <c r="M142" s="27"/>
      <c r="N142" s="36"/>
    </row>
    <row r="143" spans="1:18" ht="18">
      <c r="A143" s="23">
        <f>A134+0.0175</f>
        <v>0.78505555555555573</v>
      </c>
      <c r="B143" s="4">
        <f>M5</f>
        <v>4</v>
      </c>
      <c r="C143" s="4" t="str">
        <f>IF(R121="Pdte"," ",R121)</f>
        <v xml:space="preserve"> </v>
      </c>
      <c r="D143" s="4" t="str">
        <f>IF(R112="Pdte"," ",R112)</f>
        <v xml:space="preserve"> </v>
      </c>
      <c r="E143" s="4" t="str">
        <f>IF(F140&gt;G140,C140,IF(F140&lt;G140,D140," "))</f>
        <v xml:space="preserve"> </v>
      </c>
      <c r="F143" s="24"/>
      <c r="G143" s="25"/>
      <c r="I143" s="35"/>
      <c r="J143" s="27"/>
      <c r="K143" s="27"/>
      <c r="L143" s="27"/>
      <c r="M143" s="27"/>
      <c r="N143" s="36"/>
    </row>
    <row r="144" spans="1:18" ht="18">
      <c r="A144" s="37"/>
      <c r="B144" s="27"/>
      <c r="F144" s="38"/>
      <c r="G144" s="38"/>
      <c r="I144" s="35"/>
      <c r="J144" s="27"/>
      <c r="K144" s="27"/>
      <c r="L144" s="27"/>
      <c r="M144" s="27"/>
      <c r="N144" s="36"/>
    </row>
    <row r="145" spans="1:14" ht="18">
      <c r="A145" s="9"/>
      <c r="B145" s="9" t="s">
        <v>15</v>
      </c>
      <c r="C145" s="4" t="s">
        <v>37</v>
      </c>
      <c r="D145" s="4" t="s">
        <v>41</v>
      </c>
      <c r="E145" s="4" t="s">
        <v>42</v>
      </c>
      <c r="I145" s="35"/>
      <c r="J145" s="27"/>
      <c r="K145" s="27"/>
      <c r="L145" s="27"/>
      <c r="M145" s="27"/>
      <c r="N145" s="36"/>
    </row>
    <row r="146" spans="1:14">
      <c r="A146" s="23">
        <f>A137+0.0175</f>
        <v>0.80255555555555569</v>
      </c>
      <c r="B146" s="4">
        <f>M4</f>
        <v>3</v>
      </c>
      <c r="C146" s="4" t="str">
        <f>IF(F134&gt;G134,C134,IF(F134&lt;G134,D134," "))</f>
        <v xml:space="preserve"> </v>
      </c>
      <c r="D146" s="4" t="str">
        <f>IF(F137&gt;G137,C137,IF(F137&lt;G137,D137," "))</f>
        <v xml:space="preserve"> </v>
      </c>
      <c r="E146" s="4" t="str">
        <f>IF(F137&gt;G137,D137,IF(F137&lt;G137,C137," "))</f>
        <v xml:space="preserve"> </v>
      </c>
      <c r="F146" s="24"/>
      <c r="G146" s="25"/>
    </row>
    <row r="147" spans="1:14">
      <c r="A147" s="9"/>
      <c r="B147" s="9"/>
    </row>
    <row r="148" spans="1:14">
      <c r="A148" s="9"/>
      <c r="B148" t="s">
        <v>43</v>
      </c>
      <c r="C148" s="4" t="s">
        <v>40</v>
      </c>
      <c r="D148" s="4" t="s">
        <v>44</v>
      </c>
      <c r="E148" s="4" t="s">
        <v>45</v>
      </c>
    </row>
    <row r="149" spans="1:14">
      <c r="A149" s="23">
        <f>A137+0.0175</f>
        <v>0.80255555555555569</v>
      </c>
      <c r="B149" s="4">
        <f>M5</f>
        <v>4</v>
      </c>
      <c r="C149" s="4" t="str">
        <f>IF(F140&gt;G140,C140,IF(F140&lt;G140,D140," "))</f>
        <v xml:space="preserve"> </v>
      </c>
      <c r="D149" s="4" t="str">
        <f>IF(F143&gt;G143,C143,IF(F143&lt;G143,D143," "))</f>
        <v xml:space="preserve"> </v>
      </c>
      <c r="E149" s="4" t="str">
        <f>IF(F143&gt;G143,D143,IF(F143&lt;G143,C143," "))</f>
        <v xml:space="preserve"> </v>
      </c>
      <c r="F149" s="24"/>
      <c r="G149" s="25"/>
    </row>
    <row r="150" spans="1:14">
      <c r="A150" s="9"/>
      <c r="B150" s="9"/>
    </row>
    <row r="151" spans="1:14">
      <c r="A151" s="9"/>
      <c r="B151" s="9" t="s">
        <v>18</v>
      </c>
      <c r="C151" s="4" t="s">
        <v>19</v>
      </c>
      <c r="D151" s="4" t="s">
        <v>46</v>
      </c>
      <c r="E151" s="4" t="s">
        <v>146</v>
      </c>
    </row>
    <row r="152" spans="1:14">
      <c r="A152" s="23">
        <f>A146+0.0173</f>
        <v>0.81985555555555567</v>
      </c>
      <c r="B152" s="26">
        <f>M4</f>
        <v>3</v>
      </c>
      <c r="C152" s="4" t="str">
        <f>IF(F146&gt;G146,C146,IF(F146&lt;G146,D146," "))</f>
        <v xml:space="preserve"> </v>
      </c>
      <c r="D152" s="4" t="str">
        <f>IF(F149&gt;G149,C149,IF(F149&lt;G149,D149," "))</f>
        <v xml:space="preserve"> </v>
      </c>
      <c r="E152" s="4" t="str">
        <f>IF(F146&gt;G146,D146,IF(F146&lt;G146,C146," "))</f>
        <v xml:space="preserve"> </v>
      </c>
      <c r="F152" s="24"/>
      <c r="G152" s="25"/>
    </row>
  </sheetData>
  <mergeCells count="1">
    <mergeCell ref="A1:G7"/>
  </mergeCells>
  <conditionalFormatting sqref="R19:R22">
    <cfRule type="duplicateValues" dxfId="48" priority="30"/>
  </conditionalFormatting>
  <conditionalFormatting sqref="R10:R13">
    <cfRule type="duplicateValues" dxfId="47" priority="29"/>
  </conditionalFormatting>
  <conditionalFormatting sqref="R27:R30">
    <cfRule type="duplicateValues" dxfId="46" priority="28"/>
  </conditionalFormatting>
  <conditionalFormatting sqref="R44:R47">
    <cfRule type="duplicateValues" dxfId="45" priority="27"/>
  </conditionalFormatting>
  <conditionalFormatting sqref="R35:R38">
    <cfRule type="duplicateValues" dxfId="44" priority="26"/>
  </conditionalFormatting>
  <conditionalFormatting sqref="R52:R55">
    <cfRule type="duplicateValues" dxfId="43" priority="25"/>
  </conditionalFormatting>
  <conditionalFormatting sqref="R63">
    <cfRule type="duplicateValues" dxfId="42" priority="24"/>
  </conditionalFormatting>
  <conditionalFormatting sqref="R64:R65">
    <cfRule type="duplicateValues" dxfId="41" priority="23"/>
  </conditionalFormatting>
  <conditionalFormatting sqref="R68">
    <cfRule type="duplicateValues" dxfId="40" priority="22"/>
  </conditionalFormatting>
  <conditionalFormatting sqref="R69:R70">
    <cfRule type="duplicateValues" dxfId="39" priority="21"/>
  </conditionalFormatting>
  <conditionalFormatting sqref="R73">
    <cfRule type="duplicateValues" dxfId="38" priority="20"/>
  </conditionalFormatting>
  <conditionalFormatting sqref="R74:R75">
    <cfRule type="duplicateValues" dxfId="37" priority="19"/>
  </conditionalFormatting>
  <conditionalFormatting sqref="R78">
    <cfRule type="duplicateValues" dxfId="36" priority="18"/>
  </conditionalFormatting>
  <conditionalFormatting sqref="R79:R80">
    <cfRule type="duplicateValues" dxfId="35" priority="17"/>
  </conditionalFormatting>
  <conditionalFormatting sqref="R111">
    <cfRule type="duplicateValues" dxfId="34" priority="8"/>
  </conditionalFormatting>
  <conditionalFormatting sqref="R112:R113">
    <cfRule type="duplicateValues" dxfId="33" priority="7"/>
  </conditionalFormatting>
  <conditionalFormatting sqref="R116">
    <cfRule type="duplicateValues" dxfId="32" priority="6"/>
  </conditionalFormatting>
  <conditionalFormatting sqref="R117:R118">
    <cfRule type="duplicateValues" dxfId="31" priority="5"/>
  </conditionalFormatting>
  <conditionalFormatting sqref="R121">
    <cfRule type="duplicateValues" dxfId="30" priority="4"/>
  </conditionalFormatting>
  <conditionalFormatting sqref="R122:R123">
    <cfRule type="duplicateValues" dxfId="29" priority="3"/>
  </conditionalFormatting>
  <conditionalFormatting sqref="R126">
    <cfRule type="duplicateValues" dxfId="28" priority="2"/>
  </conditionalFormatting>
  <conditionalFormatting sqref="R127:R128">
    <cfRule type="duplicateValues" dxfId="27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5"/>
  <sheetViews>
    <sheetView tabSelected="1" topLeftCell="A106" workbookViewId="0">
      <selection activeCell="J121" sqref="J121"/>
    </sheetView>
  </sheetViews>
  <sheetFormatPr baseColWidth="10" defaultColWidth="11.44140625" defaultRowHeight="14.4"/>
  <cols>
    <col min="1" max="1" width="12" bestFit="1" customWidth="1"/>
    <col min="2" max="2" width="9.6640625" bestFit="1" customWidth="1"/>
    <col min="3" max="3" width="6.88671875" bestFit="1" customWidth="1"/>
    <col min="4" max="6" width="27.109375" customWidth="1"/>
    <col min="10" max="10" width="18.5546875" bestFit="1" customWidth="1"/>
    <col min="11" max="11" width="27.109375" bestFit="1" customWidth="1"/>
    <col min="12" max="12" width="15.33203125" bestFit="1" customWidth="1"/>
    <col min="18" max="18" width="10" bestFit="1" customWidth="1"/>
    <col min="19" max="19" width="24.109375" customWidth="1"/>
  </cols>
  <sheetData>
    <row r="1" spans="2:19">
      <c r="B1" s="59" t="s">
        <v>47</v>
      </c>
      <c r="C1" s="59"/>
      <c r="D1" s="59"/>
      <c r="E1" s="60"/>
      <c r="F1" s="60"/>
      <c r="G1" s="60"/>
      <c r="H1" s="60"/>
      <c r="K1" s="1" t="s">
        <v>61</v>
      </c>
      <c r="L1" s="2">
        <v>0.375</v>
      </c>
      <c r="N1" s="3" t="s">
        <v>21</v>
      </c>
      <c r="O1" s="16">
        <v>1.7361111111111112E-2</v>
      </c>
    </row>
    <row r="2" spans="2:19">
      <c r="B2" s="59"/>
      <c r="C2" s="59"/>
      <c r="D2" s="59"/>
      <c r="E2" s="60"/>
      <c r="F2" s="60"/>
      <c r="G2" s="60"/>
      <c r="H2" s="60"/>
      <c r="K2" s="1" t="s">
        <v>62</v>
      </c>
      <c r="L2" s="2">
        <v>0.65625</v>
      </c>
    </row>
    <row r="3" spans="2:19">
      <c r="B3" s="59"/>
      <c r="C3" s="59"/>
      <c r="D3" s="59"/>
      <c r="E3" s="60"/>
      <c r="F3" s="60"/>
      <c r="G3" s="60"/>
      <c r="H3" s="60"/>
      <c r="K3" s="3" t="s">
        <v>0</v>
      </c>
      <c r="L3" s="49">
        <v>7</v>
      </c>
    </row>
    <row r="4" spans="2:19">
      <c r="B4" s="59"/>
      <c r="C4" s="59"/>
      <c r="D4" s="59"/>
      <c r="E4" s="60"/>
      <c r="F4" s="60"/>
      <c r="G4" s="60"/>
      <c r="H4" s="60"/>
      <c r="K4" t="s">
        <v>1</v>
      </c>
      <c r="L4" s="5">
        <v>5</v>
      </c>
      <c r="M4" s="5">
        <v>9</v>
      </c>
    </row>
    <row r="5" spans="2:19">
      <c r="B5" s="59"/>
      <c r="C5" s="59"/>
      <c r="D5" s="59"/>
      <c r="E5" s="60"/>
      <c r="F5" s="60"/>
      <c r="G5" s="60"/>
      <c r="H5" s="60"/>
      <c r="L5" s="5">
        <v>6</v>
      </c>
      <c r="M5" s="5">
        <v>10</v>
      </c>
    </row>
    <row r="6" spans="2:19">
      <c r="B6" s="59"/>
      <c r="C6" s="59"/>
      <c r="D6" s="59"/>
      <c r="E6" s="60"/>
      <c r="F6" s="60"/>
      <c r="G6" s="60"/>
      <c r="H6" s="60"/>
      <c r="L6" s="5">
        <v>7</v>
      </c>
      <c r="M6" s="5">
        <v>11</v>
      </c>
    </row>
    <row r="7" spans="2:19">
      <c r="B7" s="59"/>
      <c r="C7" s="59"/>
      <c r="D7" s="59"/>
      <c r="E7" s="60"/>
      <c r="F7" s="60"/>
      <c r="G7" s="60"/>
      <c r="H7" s="60"/>
      <c r="L7" s="5">
        <v>8</v>
      </c>
    </row>
    <row r="8" spans="2:19" ht="61.2">
      <c r="B8" s="17"/>
      <c r="C8" s="17"/>
      <c r="D8" s="17"/>
      <c r="E8" s="18"/>
      <c r="F8" s="18"/>
      <c r="G8" s="18"/>
      <c r="H8" s="18"/>
    </row>
    <row r="9" spans="2:19" ht="16.5" customHeight="1">
      <c r="B9" s="17"/>
      <c r="C9" s="17"/>
      <c r="D9" s="17"/>
      <c r="E9" s="18"/>
      <c r="F9" s="18"/>
      <c r="G9" s="18"/>
      <c r="H9" s="18"/>
    </row>
    <row r="10" spans="2:19" s="11" customFormat="1" ht="20.25" customHeight="1">
      <c r="B10" s="4" t="s">
        <v>2</v>
      </c>
      <c r="C10" s="43" t="s">
        <v>3</v>
      </c>
      <c r="D10" s="44" t="s">
        <v>4</v>
      </c>
      <c r="E10" s="44" t="s">
        <v>5</v>
      </c>
      <c r="F10" s="6" t="s">
        <v>6</v>
      </c>
      <c r="G10" s="44" t="s">
        <v>22</v>
      </c>
      <c r="H10" s="44" t="s">
        <v>7</v>
      </c>
      <c r="J10" s="7" t="s">
        <v>8</v>
      </c>
      <c r="K10" s="9" t="s">
        <v>55</v>
      </c>
      <c r="L10" s="4" t="s">
        <v>9</v>
      </c>
      <c r="M10" s="4" t="s">
        <v>10</v>
      </c>
      <c r="N10" s="4" t="s">
        <v>11</v>
      </c>
      <c r="O10" s="10" t="s">
        <v>12</v>
      </c>
      <c r="P10" s="10" t="s">
        <v>24</v>
      </c>
      <c r="Q10"/>
      <c r="R10" s="4" t="s">
        <v>13</v>
      </c>
      <c r="S10" s="4" t="str">
        <f>K10</f>
        <v>Grup 1 Matí</v>
      </c>
    </row>
    <row r="11" spans="2:19" ht="22.5" customHeight="1">
      <c r="B11" s="8">
        <f>L1</f>
        <v>0.375</v>
      </c>
      <c r="C11" s="4">
        <v>2</v>
      </c>
      <c r="D11" s="4" t="str">
        <f>K11</f>
        <v>NIETO - BARREDA</v>
      </c>
      <c r="E11" s="4" t="str">
        <f>K13</f>
        <v>NOGUE - NOGUE</v>
      </c>
      <c r="F11" s="4" t="str">
        <f>K12</f>
        <v>FRANCISCO - MARTINEZ</v>
      </c>
      <c r="G11" s="45">
        <v>21</v>
      </c>
      <c r="H11" s="45">
        <v>8</v>
      </c>
      <c r="J11" s="7">
        <f>RANK(P11,P11:P14,0)</f>
        <v>1</v>
      </c>
      <c r="K11" s="10" t="str">
        <f>Entradas!A2</f>
        <v>NIETO - BARREDA</v>
      </c>
      <c r="L11" s="4">
        <f>(IF(G11&gt;H11,1,IF(G11&lt;H11,0,))+(IF(G13&gt;H13,1,IF(G13&lt;H13,0,))+(IF(G15&gt;H15,1,IF(G15&lt;H15,0,)))))</f>
        <v>3</v>
      </c>
      <c r="M11" s="4">
        <f>G11+G13+G15</f>
        <v>63</v>
      </c>
      <c r="N11" s="4">
        <f>H11+H13+H15</f>
        <v>40</v>
      </c>
      <c r="O11" s="20">
        <f>IFERROR(M11/N11,"Max")</f>
        <v>1.575</v>
      </c>
      <c r="P11" s="20">
        <f>IF(O11="Max",400,(L11*100)+O11)</f>
        <v>301.57499999999999</v>
      </c>
      <c r="R11" s="21">
        <v>1</v>
      </c>
      <c r="S11" s="7" t="str">
        <f>IF($L11+$L12+$L13+$L14=6,INDEX(K11:K14,MATCH($R11,J11:J14,0)),"Pdte")</f>
        <v>NIETO - BARREDA</v>
      </c>
    </row>
    <row r="12" spans="2:19" ht="22.5" customHeight="1">
      <c r="B12" s="8">
        <f>B20+$O$1</f>
        <v>0.40972222222222221</v>
      </c>
      <c r="C12" s="4">
        <v>2</v>
      </c>
      <c r="D12" s="4" t="str">
        <f>K12</f>
        <v>FRANCISCO - MARTINEZ</v>
      </c>
      <c r="E12" s="4" t="str">
        <f>K14</f>
        <v>TORRES - DIAZ</v>
      </c>
      <c r="F12" s="4" t="str">
        <f>K11</f>
        <v>NIETO - BARREDA</v>
      </c>
      <c r="G12" s="45">
        <v>18</v>
      </c>
      <c r="H12" s="45">
        <v>21</v>
      </c>
      <c r="J12" s="7">
        <f>RANK(P12,P11:P14,0)</f>
        <v>3</v>
      </c>
      <c r="K12" s="10" t="str">
        <f>Entradas!A17</f>
        <v>FRANCISCO - MARTINEZ</v>
      </c>
      <c r="L12" s="4">
        <f>(IF(G12&gt;H12,1,IF(G12&lt;H12,0,))+(IF(G14&gt;H14,1,IF(G14&lt;H14,0,))+(IF(H15&gt;G15,1,IF(H15&lt;G15,0,)))))</f>
        <v>1</v>
      </c>
      <c r="M12" s="4">
        <f>G12+G14+H15</f>
        <v>56</v>
      </c>
      <c r="N12" s="4">
        <f>H12+H14+G15</f>
        <v>58</v>
      </c>
      <c r="O12" s="20">
        <f>IFERROR(M12/N12,"Max")</f>
        <v>0.96551724137931039</v>
      </c>
      <c r="P12" s="20">
        <f>IF(O12="Max",400,(L12*100)+O12)</f>
        <v>100.96551724137932</v>
      </c>
      <c r="R12" s="21">
        <v>2</v>
      </c>
      <c r="S12" s="7" t="str">
        <f>IF($L12+$L13+$L14+$L11=6,INDEX(K11:K14,MATCH($R12,J11:J14,0)),"Pdte")</f>
        <v>TORRES - DIAZ</v>
      </c>
    </row>
    <row r="13" spans="2:19" ht="22.5" customHeight="1">
      <c r="B13" s="8">
        <f>B21+$O$1</f>
        <v>0.44444444444444442</v>
      </c>
      <c r="C13" s="4">
        <v>2</v>
      </c>
      <c r="D13" s="4" t="str">
        <f>K11</f>
        <v>NIETO - BARREDA</v>
      </c>
      <c r="E13" s="4" t="str">
        <f>K14</f>
        <v>TORRES - DIAZ</v>
      </c>
      <c r="F13" s="4" t="str">
        <f>K13</f>
        <v>NOGUE - NOGUE</v>
      </c>
      <c r="G13" s="45">
        <v>21</v>
      </c>
      <c r="H13" s="45">
        <v>15</v>
      </c>
      <c r="J13" s="7">
        <f>RANK(P13,P11:P14,0)</f>
        <v>4</v>
      </c>
      <c r="K13" s="10" t="str">
        <f>Entradas!A18</f>
        <v>NOGUE - NOGUE</v>
      </c>
      <c r="L13" s="4">
        <f>(IF(H11&gt;G11,1,IF(H11&lt;G11,0,))+(IF(H14&gt;G14,1,IF(H14&lt;G14,0,))+(IF(G16&gt;H16,1,IF(G16&lt;H16,0,)))))</f>
        <v>0</v>
      </c>
      <c r="M13" s="4">
        <f>H11+H14+G16</f>
        <v>37</v>
      </c>
      <c r="N13" s="4">
        <f>G11+G14+H16</f>
        <v>63</v>
      </c>
      <c r="O13" s="20">
        <f>IFERROR(M13/N13,"Max")</f>
        <v>0.58730158730158732</v>
      </c>
      <c r="P13" s="20">
        <f>IF(O13="Max",400,(L13*100)+O13)</f>
        <v>0.58730158730158732</v>
      </c>
      <c r="R13" s="21">
        <v>3</v>
      </c>
      <c r="S13" s="7" t="str">
        <f>IF($L13+$L14+$L11+$L12=6,INDEX(K11:K14,MATCH($R13,J11:J14,0)),"Pdte")</f>
        <v>FRANCISCO - MARTINEZ</v>
      </c>
    </row>
    <row r="14" spans="2:19" ht="22.5" customHeight="1">
      <c r="B14" s="8">
        <f>B22+$O$1</f>
        <v>0.47916666666666663</v>
      </c>
      <c r="C14" s="4">
        <v>2</v>
      </c>
      <c r="D14" s="4" t="str">
        <f>K12</f>
        <v>FRANCISCO - MARTINEZ</v>
      </c>
      <c r="E14" s="4" t="str">
        <f>K13</f>
        <v>NOGUE - NOGUE</v>
      </c>
      <c r="F14" s="4" t="str">
        <f>K11</f>
        <v>NIETO - BARREDA</v>
      </c>
      <c r="G14" s="45">
        <v>21</v>
      </c>
      <c r="H14" s="45">
        <v>16</v>
      </c>
      <c r="J14" s="7">
        <f>RANK(P14,P11:P14,0)</f>
        <v>2</v>
      </c>
      <c r="K14" s="10" t="str">
        <f>Entradas!A33</f>
        <v>TORRES - DIAZ</v>
      </c>
      <c r="L14" s="4">
        <f>(IF(H12&gt;G12,1,IF(H12&lt;G12,0,))+(IF(H13&gt;G13,1,IF(H13&lt;G13,0,))+(IF(H16&gt;G16,1,IF(H16&lt;G16,0,)))))</f>
        <v>2</v>
      </c>
      <c r="M14" s="4">
        <f>H12+H13+H16</f>
        <v>57</v>
      </c>
      <c r="N14" s="4">
        <f>G12+G13+G16</f>
        <v>52</v>
      </c>
      <c r="O14" s="20">
        <f>IFERROR(M14/N14,"Max")</f>
        <v>1.0961538461538463</v>
      </c>
      <c r="P14" s="20">
        <f>IF(O14="Max",400,(L14*100)+O14)</f>
        <v>201.09615384615384</v>
      </c>
      <c r="R14" s="21">
        <v>4</v>
      </c>
      <c r="S14" s="7" t="str">
        <f>IF($L11+$L12+$L13+$L14=6,INDEX(K11:K14,MATCH($R14,J11:J14,0)),"Pdte")</f>
        <v>NOGUE - NOGUE</v>
      </c>
    </row>
    <row r="15" spans="2:19" ht="22.5" customHeight="1">
      <c r="B15" s="8">
        <f>B23+$O$1</f>
        <v>0.51388888888888884</v>
      </c>
      <c r="C15" s="4">
        <v>2</v>
      </c>
      <c r="D15" s="4" t="str">
        <f>K11</f>
        <v>NIETO - BARREDA</v>
      </c>
      <c r="E15" s="4" t="str">
        <f>K12</f>
        <v>FRANCISCO - MARTINEZ</v>
      </c>
      <c r="F15" s="4" t="str">
        <f>K14</f>
        <v>TORRES - DIAZ</v>
      </c>
      <c r="G15" s="45">
        <v>21</v>
      </c>
      <c r="H15" s="45">
        <v>17</v>
      </c>
    </row>
    <row r="16" spans="2:19" ht="22.5" customHeight="1">
      <c r="B16" s="8">
        <f>B24+$O$1</f>
        <v>0.54861111111111116</v>
      </c>
      <c r="C16" s="4">
        <v>2</v>
      </c>
      <c r="D16" s="4" t="str">
        <f>K13</f>
        <v>NOGUE - NOGUE</v>
      </c>
      <c r="E16" s="4" t="str">
        <f>K14</f>
        <v>TORRES - DIAZ</v>
      </c>
      <c r="F16" s="4" t="str">
        <f>K12</f>
        <v>FRANCISCO - MARTINEZ</v>
      </c>
      <c r="G16" s="45">
        <v>13</v>
      </c>
      <c r="H16" s="45">
        <v>21</v>
      </c>
    </row>
    <row r="17" spans="2:19" ht="22.5" customHeight="1"/>
    <row r="18" spans="2:19" ht="22.5" customHeight="1"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2:19" s="11" customFormat="1" ht="22.5" customHeight="1">
      <c r="B19" s="4" t="s">
        <v>2</v>
      </c>
      <c r="C19" s="4" t="s">
        <v>3</v>
      </c>
      <c r="D19" s="10" t="s">
        <v>4</v>
      </c>
      <c r="E19" s="10" t="s">
        <v>5</v>
      </c>
      <c r="F19" s="4" t="s">
        <v>14</v>
      </c>
      <c r="G19" s="10" t="s">
        <v>7</v>
      </c>
      <c r="H19" s="10" t="s">
        <v>7</v>
      </c>
      <c r="J19" s="7" t="s">
        <v>8</v>
      </c>
      <c r="K19" s="9" t="s">
        <v>56</v>
      </c>
      <c r="L19" s="4" t="s">
        <v>9</v>
      </c>
      <c r="M19" s="4" t="s">
        <v>10</v>
      </c>
      <c r="N19" s="4" t="s">
        <v>11</v>
      </c>
      <c r="O19" s="10" t="s">
        <v>12</v>
      </c>
      <c r="P19" s="10" t="s">
        <v>26</v>
      </c>
      <c r="Q19"/>
      <c r="R19" s="4" t="s">
        <v>13</v>
      </c>
      <c r="S19" s="4" t="str">
        <f>K19</f>
        <v>Grup 2 Matí</v>
      </c>
    </row>
    <row r="20" spans="2:19" s="11" customFormat="1" ht="22.5" customHeight="1">
      <c r="B20" s="8">
        <f t="shared" ref="B20:B25" si="0">B11+$O$1</f>
        <v>0.3923611111111111</v>
      </c>
      <c r="C20" s="4">
        <v>2</v>
      </c>
      <c r="D20" s="10" t="str">
        <f>K20</f>
        <v>ALISEDA - VALIÑO</v>
      </c>
      <c r="E20" s="10" t="str">
        <f>K22</f>
        <v>SALAS  - VILLAR</v>
      </c>
      <c r="F20" s="19" t="str">
        <f>K21</f>
        <v>DI GIULIO - LABIAUSSE</v>
      </c>
      <c r="G20" s="45">
        <v>21</v>
      </c>
      <c r="H20" s="15">
        <v>14</v>
      </c>
      <c r="J20" s="7">
        <f>RANK(P20,P20:P23,0)</f>
        <v>1</v>
      </c>
      <c r="K20" s="10" t="str">
        <f>Entradas!A3</f>
        <v>ALISEDA - VALIÑO</v>
      </c>
      <c r="L20" s="4">
        <f>(IF(G20&gt;H20,1,IF(G20&lt;H20,0,))+(IF(G22&gt;H22,1,IF(G22&lt;H22,0,))+(IF(G24&gt;H24,1,IF(G24&lt;H24,0,)))))</f>
        <v>3</v>
      </c>
      <c r="M20" s="4">
        <f>G20+G22+G24</f>
        <v>63</v>
      </c>
      <c r="N20" s="4">
        <f>H20+H22+H24</f>
        <v>36</v>
      </c>
      <c r="O20" s="20">
        <f>IFERROR(M20/N20,"Max")</f>
        <v>1.75</v>
      </c>
      <c r="P20" s="20">
        <f>IF(O20="Max",400,(L20*100)+O20)</f>
        <v>301.75</v>
      </c>
      <c r="Q20"/>
      <c r="R20" s="21">
        <v>1</v>
      </c>
      <c r="S20" s="7" t="str">
        <f>IF($L20+$L21+$L22+$L23=6,INDEX(K20:K23,MATCH($R20,J20:J23,0)),"Pdte")</f>
        <v>ALISEDA - VALIÑO</v>
      </c>
    </row>
    <row r="21" spans="2:19" s="11" customFormat="1" ht="22.5" customHeight="1">
      <c r="B21" s="8">
        <f t="shared" si="0"/>
        <v>0.42708333333333331</v>
      </c>
      <c r="C21" s="4">
        <v>2</v>
      </c>
      <c r="D21" s="10" t="str">
        <f>K21</f>
        <v>DI GIULIO - LABIAUSSE</v>
      </c>
      <c r="E21" s="10" t="str">
        <f>K23</f>
        <v>FRANçOIS - HERNANDEZ</v>
      </c>
      <c r="F21" s="19" t="str">
        <f>K20</f>
        <v>ALISEDA - VALIÑO</v>
      </c>
      <c r="G21" s="45">
        <v>21</v>
      </c>
      <c r="H21" s="15">
        <v>19</v>
      </c>
      <c r="J21" s="7">
        <f>RANK(P21,P20:P23,0)</f>
        <v>3</v>
      </c>
      <c r="K21" s="10" t="str">
        <f>Entradas!A16</f>
        <v>DI GIULIO - LABIAUSSE</v>
      </c>
      <c r="L21" s="4">
        <f>(IF(G21&gt;H21,1,IF(G21&lt;H21,0,))+(IF(G23&gt;H23,1,IF(G23&lt;H23,0,))+(IF(H24&gt;G24,1,IF(H24&lt;G24,0,)))))</f>
        <v>1</v>
      </c>
      <c r="M21" s="4">
        <f>G21+G23+H24</f>
        <v>55</v>
      </c>
      <c r="N21" s="4">
        <f>H21+H23+G24</f>
        <v>61</v>
      </c>
      <c r="O21" s="20">
        <f>IFERROR(M21/N21,"Max")</f>
        <v>0.90163934426229508</v>
      </c>
      <c r="P21" s="20">
        <f>IF(O21="Max",400,(L21*100)+O21)</f>
        <v>100.90163934426229</v>
      </c>
      <c r="Q21"/>
      <c r="R21" s="21">
        <v>2</v>
      </c>
      <c r="S21" s="7" t="str">
        <f>IF($L21+$L22+$L23+$L20=6,INDEX(K20:K23,MATCH($R21,J20:J23,0)),"Pdte")</f>
        <v>SALAS  - VILLAR</v>
      </c>
    </row>
    <row r="22" spans="2:19" s="11" customFormat="1" ht="22.5" customHeight="1">
      <c r="B22" s="8">
        <f t="shared" si="0"/>
        <v>0.46180555555555552</v>
      </c>
      <c r="C22" s="4">
        <v>2</v>
      </c>
      <c r="D22" s="10" t="str">
        <f>K20</f>
        <v>ALISEDA - VALIÑO</v>
      </c>
      <c r="E22" s="10" t="str">
        <f>K23</f>
        <v>FRANçOIS - HERNANDEZ</v>
      </c>
      <c r="F22" s="19" t="str">
        <f>K22</f>
        <v>SALAS  - VILLAR</v>
      </c>
      <c r="G22" s="45">
        <v>21</v>
      </c>
      <c r="H22" s="15">
        <v>3</v>
      </c>
      <c r="J22" s="7">
        <f>RANK(P22,P20:P23,0)</f>
        <v>2</v>
      </c>
      <c r="K22" s="10" t="str">
        <f>Entradas!A19</f>
        <v>SALAS  - VILLAR</v>
      </c>
      <c r="L22" s="4">
        <f>(IF(H20&gt;G20,1,IF(H20&lt;G20,0,))+(IF(H23&gt;G23,1,IF(H23&lt;G23,0,))+(IF(G25&gt;H25,1,IF(G25&lt;H25,0,)))))</f>
        <v>2</v>
      </c>
      <c r="M22" s="4">
        <f>H20+H23+G25</f>
        <v>56</v>
      </c>
      <c r="N22" s="4">
        <f>G20+G23+H25</f>
        <v>49</v>
      </c>
      <c r="O22" s="20">
        <f>IFERROR(M22/N22,"Max")</f>
        <v>1.1428571428571428</v>
      </c>
      <c r="P22" s="20">
        <f>IF(O22="Max",400,(L22*100)+O22)</f>
        <v>201.14285714285714</v>
      </c>
      <c r="Q22"/>
      <c r="R22" s="21">
        <v>3</v>
      </c>
      <c r="S22" s="7" t="str">
        <f>IF($L22+$L23+$L20+$L21=6,INDEX(K20:K23,MATCH($R22,J20:J23,0)),"Pdte")</f>
        <v>DI GIULIO - LABIAUSSE</v>
      </c>
    </row>
    <row r="23" spans="2:19" s="11" customFormat="1" ht="22.5" customHeight="1">
      <c r="B23" s="8">
        <f t="shared" si="0"/>
        <v>0.49652777777777773</v>
      </c>
      <c r="C23" s="4">
        <v>2</v>
      </c>
      <c r="D23" s="10" t="str">
        <f>K21</f>
        <v>DI GIULIO - LABIAUSSE</v>
      </c>
      <c r="E23" s="10" t="str">
        <f>K22</f>
        <v>SALAS  - VILLAR</v>
      </c>
      <c r="F23" s="19" t="str">
        <f>K23</f>
        <v>FRANçOIS - HERNANDEZ</v>
      </c>
      <c r="G23" s="45">
        <v>15</v>
      </c>
      <c r="H23" s="15">
        <v>21</v>
      </c>
      <c r="J23" s="7">
        <f>RANK(P23,P20:P23,0)</f>
        <v>4</v>
      </c>
      <c r="K23" s="10" t="str">
        <f>Entradas!A32</f>
        <v>FRANçOIS - HERNANDEZ</v>
      </c>
      <c r="L23" s="4">
        <f>(IF(H21&gt;G21,1,IF(H21&lt;G21,0,))+(IF(H22&gt;G22,1,IF(H22&lt;G22,0,))+(IF(H25&gt;G25,1,IF(H25&lt;G25,0,)))))</f>
        <v>0</v>
      </c>
      <c r="M23" s="4">
        <f>H21+H22+H25</f>
        <v>35</v>
      </c>
      <c r="N23" s="4">
        <f>G21+G22+G25</f>
        <v>63</v>
      </c>
      <c r="O23" s="20">
        <f>IFERROR(M23/N23,"Max")</f>
        <v>0.55555555555555558</v>
      </c>
      <c r="P23" s="20">
        <f>IF(O23="Max",400,(L23*100)+O23)</f>
        <v>0.55555555555555558</v>
      </c>
      <c r="Q23"/>
      <c r="R23" s="21">
        <v>4</v>
      </c>
      <c r="S23" s="7" t="str">
        <f>IF($L20+$L21+$L22+$L23=6,INDEX(K20:K23,MATCH($R23,J20:J23,0)),"Pdte")</f>
        <v>FRANçOIS - HERNANDEZ</v>
      </c>
    </row>
    <row r="24" spans="2:19" s="11" customFormat="1" ht="22.5" customHeight="1">
      <c r="B24" s="8">
        <f t="shared" si="0"/>
        <v>0.53125</v>
      </c>
      <c r="C24" s="4">
        <v>2</v>
      </c>
      <c r="D24" s="10" t="str">
        <f>K20</f>
        <v>ALISEDA - VALIÑO</v>
      </c>
      <c r="E24" s="10" t="str">
        <f>K21</f>
        <v>DI GIULIO - LABIAUSSE</v>
      </c>
      <c r="F24" s="19" t="str">
        <f>K22</f>
        <v>SALAS  - VILLAR</v>
      </c>
      <c r="G24" s="45">
        <v>21</v>
      </c>
      <c r="H24" s="15">
        <v>19</v>
      </c>
    </row>
    <row r="25" spans="2:19" s="11" customFormat="1" ht="22.5" customHeight="1">
      <c r="B25" s="8">
        <f t="shared" si="0"/>
        <v>0.56597222222222232</v>
      </c>
      <c r="C25" s="4">
        <v>2</v>
      </c>
      <c r="D25" s="10" t="str">
        <f>K22</f>
        <v>SALAS  - VILLAR</v>
      </c>
      <c r="E25" s="10" t="str">
        <f>K23</f>
        <v>FRANçOIS - HERNANDEZ</v>
      </c>
      <c r="F25" s="19" t="str">
        <f>K20</f>
        <v>ALISEDA - VALIÑO</v>
      </c>
      <c r="G25" s="45">
        <v>21</v>
      </c>
      <c r="H25" s="15">
        <v>13</v>
      </c>
    </row>
    <row r="26" spans="2:19" s="11" customFormat="1" ht="22.5" customHeight="1">
      <c r="B26" s="12"/>
      <c r="C26" s="12"/>
    </row>
    <row r="27" spans="2:19" s="11" customFormat="1" ht="22.5" customHeight="1">
      <c r="B27" s="4" t="s">
        <v>2</v>
      </c>
      <c r="C27" s="4" t="s">
        <v>3</v>
      </c>
      <c r="D27" s="44" t="s">
        <v>4</v>
      </c>
      <c r="E27" s="44" t="s">
        <v>5</v>
      </c>
      <c r="F27" s="6" t="s">
        <v>6</v>
      </c>
      <c r="G27" s="44" t="s">
        <v>22</v>
      </c>
      <c r="H27" s="44" t="s">
        <v>7</v>
      </c>
      <c r="J27" s="7" t="s">
        <v>8</v>
      </c>
      <c r="K27" s="9" t="s">
        <v>57</v>
      </c>
      <c r="L27" s="4" t="s">
        <v>9</v>
      </c>
      <c r="M27" s="4" t="s">
        <v>10</v>
      </c>
      <c r="N27" s="4" t="s">
        <v>11</v>
      </c>
      <c r="O27" s="10" t="s">
        <v>12</v>
      </c>
      <c r="P27" s="10" t="s">
        <v>24</v>
      </c>
      <c r="Q27"/>
      <c r="R27" s="4" t="s">
        <v>13</v>
      </c>
      <c r="S27" s="4" t="str">
        <f>K27</f>
        <v>Grup 3 Matí</v>
      </c>
    </row>
    <row r="28" spans="2:19" ht="22.5" customHeight="1">
      <c r="B28" s="8">
        <f>L1</f>
        <v>0.375</v>
      </c>
      <c r="C28" s="4">
        <f>L5</f>
        <v>6</v>
      </c>
      <c r="D28" s="4" t="str">
        <f>K28</f>
        <v>ESTALELLA - MUÑOZ</v>
      </c>
      <c r="E28" s="4" t="str">
        <f>K30</f>
        <v>MACIA - GARCIA</v>
      </c>
      <c r="F28" s="4" t="str">
        <f>K29</f>
        <v>SAGRERA - UREÑA</v>
      </c>
      <c r="G28" s="58">
        <v>21</v>
      </c>
      <c r="H28" s="58">
        <v>12</v>
      </c>
      <c r="J28" s="7">
        <f>RANK(P28,P28:P31,0)</f>
        <v>1</v>
      </c>
      <c r="K28" s="10" t="str">
        <f>Entradas!A4</f>
        <v>ESTALELLA - MUÑOZ</v>
      </c>
      <c r="L28" s="4">
        <f>(IF(G28&gt;H28,1,IF(G28&lt;H28,0,))+(IF(G30&gt;H30,1,IF(G30&lt;H30,0,))+(IF(G32&gt;H32,1,IF(G32&lt;H32,0,)))))</f>
        <v>3</v>
      </c>
      <c r="M28" s="4">
        <f>G28+G30+G32</f>
        <v>63</v>
      </c>
      <c r="N28" s="4">
        <f>H28+H30+H32</f>
        <v>30</v>
      </c>
      <c r="O28" s="20">
        <f>IFERROR(M28/N28,"Max")</f>
        <v>2.1</v>
      </c>
      <c r="P28" s="20">
        <f>IF(O28="Max",400,(L28*100)+O28)</f>
        <v>302.10000000000002</v>
      </c>
      <c r="R28" s="21">
        <v>1</v>
      </c>
      <c r="S28" s="7" t="str">
        <f>IF($L28+$L29+$L30+$L31=6,INDEX(K28:K31,MATCH($R28,J28:J31,0)),"Pdte")</f>
        <v>ESTALELLA - MUÑOZ</v>
      </c>
    </row>
    <row r="29" spans="2:19" ht="22.5" customHeight="1">
      <c r="B29" s="8">
        <f>B37+$O$1</f>
        <v>0.40972222222222221</v>
      </c>
      <c r="C29" s="4">
        <f>L5</f>
        <v>6</v>
      </c>
      <c r="D29" s="4" t="str">
        <f>K29</f>
        <v>SAGRERA - UREÑA</v>
      </c>
      <c r="E29" s="4" t="str">
        <f>K31</f>
        <v>TARGLIAFERRO - MOLINE</v>
      </c>
      <c r="F29" s="4" t="str">
        <f>K28</f>
        <v>ESTALELLA - MUÑOZ</v>
      </c>
      <c r="G29" s="45">
        <v>21</v>
      </c>
      <c r="H29" s="45">
        <v>16</v>
      </c>
      <c r="J29" s="7">
        <f>RANK(P29,P28:P31,0)</f>
        <v>2</v>
      </c>
      <c r="K29" s="10" t="str">
        <f>Entradas!A15</f>
        <v>SAGRERA - UREÑA</v>
      </c>
      <c r="L29" s="4">
        <f>(IF(G29&gt;H29,1,IF(G29&lt;H29,0,))+(IF(G31&gt;H31,1,IF(G31&lt;H31,0,))+(IF(H32&gt;G32,1,IF(H32&lt;G32,0,)))))</f>
        <v>2</v>
      </c>
      <c r="M29" s="4">
        <f>G29+G31+H32</f>
        <v>52</v>
      </c>
      <c r="N29" s="4">
        <f>H29+H31+G32</f>
        <v>52</v>
      </c>
      <c r="O29" s="20">
        <f>IFERROR(M29/N29,"Max")</f>
        <v>1</v>
      </c>
      <c r="P29" s="20">
        <f>IF(O29="Max",400,(L29*100)+O29)</f>
        <v>201</v>
      </c>
      <c r="R29" s="21">
        <v>2</v>
      </c>
      <c r="S29" s="7" t="str">
        <f>IF($L29+$L30+$L31+$L28=6,INDEX(K28:K31,MATCH($R29,J28:J31,0)),"Pdte")</f>
        <v>SAGRERA - UREÑA</v>
      </c>
    </row>
    <row r="30" spans="2:19" ht="22.5" customHeight="1">
      <c r="B30" s="8">
        <f>B38+$O$1</f>
        <v>0.44444444444444442</v>
      </c>
      <c r="C30" s="4">
        <f>L5</f>
        <v>6</v>
      </c>
      <c r="D30" s="4" t="str">
        <f>K28</f>
        <v>ESTALELLA - MUÑOZ</v>
      </c>
      <c r="E30" s="4" t="str">
        <f>K31</f>
        <v>TARGLIAFERRO - MOLINE</v>
      </c>
      <c r="F30" s="4" t="str">
        <f>K30</f>
        <v>MACIA - GARCIA</v>
      </c>
      <c r="G30" s="45">
        <v>21</v>
      </c>
      <c r="H30" s="45">
        <v>8</v>
      </c>
      <c r="J30" s="7">
        <f>RANK(P30,P28:P31,0)</f>
        <v>4</v>
      </c>
      <c r="K30" s="10" t="str">
        <f>Entradas!A20</f>
        <v>MACIA - GARCIA</v>
      </c>
      <c r="L30" s="4">
        <f>(IF(H28&gt;G28,1,IF(H28&lt;G28,0,))+(IF(H31&gt;G31,1,IF(H31&lt;G31,0,))+(IF(G33&gt;H33,1,IF(G33&lt;H33,0,)))))</f>
        <v>0</v>
      </c>
      <c r="M30" s="4">
        <f>H28+H31+G33</f>
        <v>44</v>
      </c>
      <c r="N30" s="4">
        <f>G28+G31+H33</f>
        <v>63</v>
      </c>
      <c r="O30" s="20">
        <f>IFERROR(M30/N30,"Max")</f>
        <v>0.69841269841269837</v>
      </c>
      <c r="P30" s="20">
        <f>IF(O30="Max",400,(L30*100)+O30)</f>
        <v>0.69841269841269837</v>
      </c>
      <c r="R30" s="21">
        <v>3</v>
      </c>
      <c r="S30" s="7" t="str">
        <f>IF($L30+$L31+$L28+$L29=6,INDEX(K28:K31,MATCH($R30,J28:J31,0)),"Pdte")</f>
        <v>TARGLIAFERRO - MOLINE</v>
      </c>
    </row>
    <row r="31" spans="2:19" ht="22.5" customHeight="1">
      <c r="B31" s="8">
        <f>B39+$O$1</f>
        <v>0.47916666666666663</v>
      </c>
      <c r="C31" s="4">
        <f>L5</f>
        <v>6</v>
      </c>
      <c r="D31" s="4" t="str">
        <f>K29</f>
        <v>SAGRERA - UREÑA</v>
      </c>
      <c r="E31" s="4" t="str">
        <f>K30</f>
        <v>MACIA - GARCIA</v>
      </c>
      <c r="F31" s="4" t="str">
        <f>K28</f>
        <v>ESTALELLA - MUÑOZ</v>
      </c>
      <c r="G31" s="45">
        <v>21</v>
      </c>
      <c r="H31" s="45">
        <v>15</v>
      </c>
      <c r="J31" s="7">
        <f>RANK(P31,P28:P31,0)</f>
        <v>3</v>
      </c>
      <c r="K31" s="10" t="str">
        <f>Entradas!A31</f>
        <v>TARGLIAFERRO - MOLINE</v>
      </c>
      <c r="L31" s="4">
        <f>(IF(H29&gt;G29,1,IF(H29&lt;G29,0,))+(IF(H30&gt;G30,1,IF(H30&lt;G30,0,))+(IF(H33&gt;G33,1,IF(H33&lt;G33,0,)))))</f>
        <v>1</v>
      </c>
      <c r="M31" s="4">
        <f>H29+H30+H33</f>
        <v>45</v>
      </c>
      <c r="N31" s="4">
        <f>G29+G30+G33</f>
        <v>59</v>
      </c>
      <c r="O31" s="20">
        <f>IFERROR(M31/N31,"Max")</f>
        <v>0.76271186440677963</v>
      </c>
      <c r="P31" s="20">
        <f>IF(O31="Max",400,(L31*100)+O31)</f>
        <v>100.76271186440678</v>
      </c>
      <c r="R31" s="21">
        <v>4</v>
      </c>
      <c r="S31" s="7" t="str">
        <f>IF($L28+$L29+$L30+$L31=6,INDEX(K28:K31,MATCH($R31,J28:J31,0)),"Pdte")</f>
        <v>MACIA - GARCIA</v>
      </c>
    </row>
    <row r="32" spans="2:19" ht="22.5" customHeight="1">
      <c r="B32" s="8">
        <f>B40+$O$1</f>
        <v>0.51388888888888884</v>
      </c>
      <c r="C32" s="4">
        <f>L5</f>
        <v>6</v>
      </c>
      <c r="D32" s="4" t="str">
        <f>K28</f>
        <v>ESTALELLA - MUÑOZ</v>
      </c>
      <c r="E32" s="4" t="str">
        <f>K29</f>
        <v>SAGRERA - UREÑA</v>
      </c>
      <c r="F32" s="4" t="str">
        <f>K31</f>
        <v>TARGLIAFERRO - MOLINE</v>
      </c>
      <c r="G32" s="45">
        <v>21</v>
      </c>
      <c r="H32" s="45">
        <v>10</v>
      </c>
    </row>
    <row r="33" spans="2:19" ht="22.5" customHeight="1">
      <c r="B33" s="8">
        <f>B41+$O$1</f>
        <v>0.54861111111111116</v>
      </c>
      <c r="C33" s="4">
        <f>L5</f>
        <v>6</v>
      </c>
      <c r="D33" s="4" t="str">
        <f>K30</f>
        <v>MACIA - GARCIA</v>
      </c>
      <c r="E33" s="4" t="str">
        <f>K31</f>
        <v>TARGLIAFERRO - MOLINE</v>
      </c>
      <c r="F33" s="4" t="str">
        <f>K29</f>
        <v>SAGRERA - UREÑA</v>
      </c>
      <c r="G33" s="45">
        <v>17</v>
      </c>
      <c r="H33" s="45">
        <v>21</v>
      </c>
    </row>
    <row r="34" spans="2:19" ht="22.5" customHeight="1"/>
    <row r="35" spans="2:19" ht="22.5" customHeight="1">
      <c r="J35" s="7" t="s">
        <v>8</v>
      </c>
      <c r="K35" s="9" t="s">
        <v>58</v>
      </c>
      <c r="L35" s="4" t="s">
        <v>9</v>
      </c>
      <c r="M35" s="4" t="s">
        <v>10</v>
      </c>
      <c r="N35" s="4" t="s">
        <v>11</v>
      </c>
      <c r="O35" s="10" t="s">
        <v>12</v>
      </c>
      <c r="P35" s="10" t="s">
        <v>26</v>
      </c>
      <c r="R35" s="4" t="s">
        <v>13</v>
      </c>
      <c r="S35" s="4" t="str">
        <f>K35</f>
        <v>Grup 4 Matí</v>
      </c>
    </row>
    <row r="36" spans="2:19" s="11" customFormat="1" ht="22.5" customHeight="1">
      <c r="B36" s="4" t="s">
        <v>2</v>
      </c>
      <c r="C36" s="4" t="s">
        <v>3</v>
      </c>
      <c r="D36" s="10" t="s">
        <v>4</v>
      </c>
      <c r="E36" s="10" t="s">
        <v>5</v>
      </c>
      <c r="F36" s="4" t="s">
        <v>14</v>
      </c>
      <c r="G36" s="10" t="s">
        <v>7</v>
      </c>
      <c r="H36" s="10" t="s">
        <v>7</v>
      </c>
      <c r="J36" s="7">
        <f>RANK(P36,P36:P39,0)</f>
        <v>2</v>
      </c>
      <c r="K36" s="10" t="str">
        <f>Entradas!A5</f>
        <v>VIVES - MONTINARO</v>
      </c>
      <c r="L36" s="4">
        <f>(IF(G37&gt;H37,1,IF(G37&lt;H37,0,))+(IF(G39&gt;H39,1,IF(G39&lt;H39,0,))+(IF(G41&gt;H41,1,IF(G41&lt;H41,0,)))))</f>
        <v>2</v>
      </c>
      <c r="M36" s="4">
        <f>G37+G39+G41</f>
        <v>64</v>
      </c>
      <c r="N36" s="4">
        <f>H37+H39+H41</f>
        <v>46</v>
      </c>
      <c r="O36" s="20">
        <f>IFERROR(M36/N36,"Max")</f>
        <v>1.3913043478260869</v>
      </c>
      <c r="P36" s="20">
        <f>IF(O36="Max",400,(L36*100)+O36)</f>
        <v>201.39130434782609</v>
      </c>
      <c r="Q36"/>
      <c r="R36" s="21">
        <v>1</v>
      </c>
      <c r="S36" s="7" t="str">
        <f>IF($L36+$L37+$L38+$L39=6,INDEX(K36:K39,MATCH($R36,J36:J39,0)),"Pdte")</f>
        <v>GONZALEZ - REDONDO</v>
      </c>
    </row>
    <row r="37" spans="2:19" s="11" customFormat="1" ht="22.5" customHeight="1">
      <c r="B37" s="8">
        <f t="shared" ref="B37:B42" si="1">B28+$O$1</f>
        <v>0.3923611111111111</v>
      </c>
      <c r="C37" s="4">
        <f>L5</f>
        <v>6</v>
      </c>
      <c r="D37" s="10" t="str">
        <f>K36</f>
        <v>VIVES - MONTINARO</v>
      </c>
      <c r="E37" s="10" t="str">
        <f>K38</f>
        <v>GONZALEZ - REDONDO</v>
      </c>
      <c r="F37" s="19" t="str">
        <f>K37</f>
        <v>PANZANO - GALAN</v>
      </c>
      <c r="G37" s="45">
        <v>22</v>
      </c>
      <c r="H37" s="15">
        <v>24</v>
      </c>
      <c r="J37" s="7">
        <f>RANK(P37,P36:P39,0)</f>
        <v>4</v>
      </c>
      <c r="K37" s="10" t="str">
        <f>Entradas!A14</f>
        <v>PANZANO - GALAN</v>
      </c>
      <c r="L37" s="4">
        <f>(IF(G38&gt;H38,1,IF(G38&lt;H38,0,))+(IF(G40&gt;H40,1,IF(G40&lt;H40,0,))+(IF(H41&gt;G41,1,IF(H41&lt;G41,0,)))))</f>
        <v>0</v>
      </c>
      <c r="M37" s="4">
        <f>G38+G40+H41</f>
        <v>34</v>
      </c>
      <c r="N37" s="4">
        <f>H38+H40+G41</f>
        <v>63</v>
      </c>
      <c r="O37" s="20">
        <f>IFERROR(M37/N37,"Max")</f>
        <v>0.53968253968253965</v>
      </c>
      <c r="P37" s="20">
        <f>IF(O37="Max",400,(L37*100)+O37)</f>
        <v>0.53968253968253965</v>
      </c>
      <c r="Q37"/>
      <c r="R37" s="21">
        <v>2</v>
      </c>
      <c r="S37" s="7" t="str">
        <f>IF($L37+$L38+$L39+$L36=6,INDEX(K36:K39,MATCH($R37,J36:J39,0)),"Pdte")</f>
        <v>VIVES - MONTINARO</v>
      </c>
    </row>
    <row r="38" spans="2:19" s="11" customFormat="1" ht="22.5" customHeight="1">
      <c r="B38" s="8">
        <f t="shared" si="1"/>
        <v>0.42708333333333331</v>
      </c>
      <c r="C38" s="4">
        <f>L5</f>
        <v>6</v>
      </c>
      <c r="D38" s="10" t="str">
        <f>K37</f>
        <v>PANZANO - GALAN</v>
      </c>
      <c r="E38" s="10" t="str">
        <f>K39</f>
        <v>FABREGA - ESTANY</v>
      </c>
      <c r="F38" s="19" t="str">
        <f>K36</f>
        <v>VIVES - MONTINARO</v>
      </c>
      <c r="G38" s="45">
        <v>8</v>
      </c>
      <c r="H38" s="15">
        <v>21</v>
      </c>
      <c r="J38" s="7">
        <f>RANK(P38,P36:P39,0)</f>
        <v>1</v>
      </c>
      <c r="K38" s="10" t="str">
        <f>Entradas!A21</f>
        <v>GONZALEZ - REDONDO</v>
      </c>
      <c r="L38" s="4">
        <f>(IF(H37&gt;G37,1,IF(H37&lt;G37,0,))+(IF(H40&gt;G40,1,IF(H40&lt;G40,0,))+(IF(G42&gt;H42,1,IF(G42&lt;H42,0,)))))</f>
        <v>3</v>
      </c>
      <c r="M38" s="4">
        <f>H37+H40+G42</f>
        <v>66</v>
      </c>
      <c r="N38" s="4">
        <f>G37+G40+H42</f>
        <v>46</v>
      </c>
      <c r="O38" s="20">
        <f>IFERROR(M38/N38,"Max")</f>
        <v>1.4347826086956521</v>
      </c>
      <c r="P38" s="20">
        <f>IF(O38="Max",400,(L38*100)+O38)</f>
        <v>301.43478260869563</v>
      </c>
      <c r="Q38"/>
      <c r="R38" s="21">
        <v>3</v>
      </c>
      <c r="S38" s="7" t="str">
        <f>IF($L38+$L39+$L36+$L37=6,INDEX(K36:K39,MATCH($R38,J36:J39,0)),"Pdte")</f>
        <v>FABREGA - ESTANY</v>
      </c>
    </row>
    <row r="39" spans="2:19" s="11" customFormat="1" ht="22.5" customHeight="1">
      <c r="B39" s="8">
        <f t="shared" si="1"/>
        <v>0.46180555555555552</v>
      </c>
      <c r="C39" s="4">
        <f>L5</f>
        <v>6</v>
      </c>
      <c r="D39" s="10" t="str">
        <f>K36</f>
        <v>VIVES - MONTINARO</v>
      </c>
      <c r="E39" s="10" t="str">
        <f>K39</f>
        <v>FABREGA - ESTANY</v>
      </c>
      <c r="F39" s="19" t="str">
        <f>K38</f>
        <v>GONZALEZ - REDONDO</v>
      </c>
      <c r="G39" s="45">
        <v>21</v>
      </c>
      <c r="H39" s="15">
        <v>12</v>
      </c>
      <c r="J39" s="7">
        <f>RANK(P39,P36:P39,0)</f>
        <v>3</v>
      </c>
      <c r="K39" s="10" t="str">
        <f>Entradas!A30</f>
        <v>FABREGA - ESTANY</v>
      </c>
      <c r="L39" s="4">
        <f>(IF(H38&gt;G38,1,IF(H38&lt;G38,0,))+(IF(H39&gt;G39,1,IF(H39&lt;G39,0,))+(IF(H42&gt;G42,1,IF(H42&lt;G42,0,)))))</f>
        <v>1</v>
      </c>
      <c r="M39" s="4">
        <f>H38+H39+H42</f>
        <v>41</v>
      </c>
      <c r="N39" s="4">
        <f>G38+G39+G42</f>
        <v>50</v>
      </c>
      <c r="O39" s="20">
        <f>IFERROR(M39/N39,"Max")</f>
        <v>0.82</v>
      </c>
      <c r="P39" s="20">
        <f>IF(O39="Max",400,(L39*100)+O39)</f>
        <v>100.82</v>
      </c>
      <c r="Q39"/>
      <c r="R39" s="21">
        <v>4</v>
      </c>
      <c r="S39" s="7" t="str">
        <f>IF($L36+$L37+$L38+$L39=6,INDEX(K36:K39,MATCH($R39,J36:J39,0)),"Pdte")</f>
        <v>PANZANO - GALAN</v>
      </c>
    </row>
    <row r="40" spans="2:19" s="11" customFormat="1" ht="22.5" customHeight="1">
      <c r="B40" s="8">
        <f t="shared" si="1"/>
        <v>0.49652777777777773</v>
      </c>
      <c r="C40" s="4">
        <f>L5</f>
        <v>6</v>
      </c>
      <c r="D40" s="10" t="str">
        <f>K37</f>
        <v>PANZANO - GALAN</v>
      </c>
      <c r="E40" s="10" t="str">
        <f>K38</f>
        <v>GONZALEZ - REDONDO</v>
      </c>
      <c r="F40" s="19" t="str">
        <f>K39</f>
        <v>FABREGA - ESTANY</v>
      </c>
      <c r="G40" s="45">
        <v>16</v>
      </c>
      <c r="H40" s="15">
        <v>21</v>
      </c>
    </row>
    <row r="41" spans="2:19" s="11" customFormat="1" ht="22.5" customHeight="1">
      <c r="B41" s="8">
        <f t="shared" si="1"/>
        <v>0.53125</v>
      </c>
      <c r="C41" s="4">
        <f>L5</f>
        <v>6</v>
      </c>
      <c r="D41" s="10" t="str">
        <f>K36</f>
        <v>VIVES - MONTINARO</v>
      </c>
      <c r="E41" s="10" t="str">
        <f>K37</f>
        <v>PANZANO - GALAN</v>
      </c>
      <c r="F41" s="19" t="str">
        <f>K38</f>
        <v>GONZALEZ - REDONDO</v>
      </c>
      <c r="G41" s="45">
        <v>21</v>
      </c>
      <c r="H41" s="15">
        <v>10</v>
      </c>
    </row>
    <row r="42" spans="2:19" s="11" customFormat="1" ht="22.5" customHeight="1">
      <c r="B42" s="8">
        <f t="shared" si="1"/>
        <v>0.56597222222222232</v>
      </c>
      <c r="C42" s="4">
        <f>L5</f>
        <v>6</v>
      </c>
      <c r="D42" s="10" t="str">
        <f>K38</f>
        <v>GONZALEZ - REDONDO</v>
      </c>
      <c r="E42" s="10" t="str">
        <f>K39</f>
        <v>FABREGA - ESTANY</v>
      </c>
      <c r="F42" s="19" t="str">
        <f>K36</f>
        <v>VIVES - MONTINARO</v>
      </c>
      <c r="G42" s="45">
        <v>21</v>
      </c>
      <c r="H42" s="15">
        <v>8</v>
      </c>
    </row>
    <row r="43" spans="2:19" s="11" customFormat="1" ht="22.5" customHeight="1">
      <c r="B43"/>
      <c r="C43" s="9"/>
      <c r="D43" s="28"/>
      <c r="E43" s="28"/>
      <c r="F43" s="28"/>
      <c r="G43" s="46"/>
      <c r="H43" s="46"/>
    </row>
    <row r="44" spans="2:19" s="11" customFormat="1" ht="22.5" customHeight="1">
      <c r="B44" s="4" t="s">
        <v>2</v>
      </c>
      <c r="C44" s="43" t="s">
        <v>3</v>
      </c>
      <c r="D44" s="44" t="s">
        <v>4</v>
      </c>
      <c r="E44" s="44" t="s">
        <v>5</v>
      </c>
      <c r="F44" s="6" t="s">
        <v>6</v>
      </c>
      <c r="G44" s="44" t="s">
        <v>22</v>
      </c>
      <c r="H44" s="44" t="s">
        <v>7</v>
      </c>
      <c r="J44" s="7" t="s">
        <v>8</v>
      </c>
      <c r="K44" s="9" t="s">
        <v>59</v>
      </c>
      <c r="L44" s="4" t="s">
        <v>9</v>
      </c>
      <c r="M44" s="4" t="s">
        <v>10</v>
      </c>
      <c r="N44" s="4" t="s">
        <v>11</v>
      </c>
      <c r="O44" s="10" t="s">
        <v>12</v>
      </c>
      <c r="P44" s="10" t="s">
        <v>24</v>
      </c>
      <c r="Q44"/>
      <c r="R44" s="4" t="s">
        <v>13</v>
      </c>
      <c r="S44" s="4" t="str">
        <f>K44</f>
        <v>Grup 5 Matí</v>
      </c>
    </row>
    <row r="45" spans="2:19" ht="22.5" customHeight="1">
      <c r="B45" s="8">
        <f>L1</f>
        <v>0.375</v>
      </c>
      <c r="C45" s="43">
        <f>L6</f>
        <v>7</v>
      </c>
      <c r="D45" s="4" t="str">
        <f>K45</f>
        <v>MARTINEZ - DALMAU</v>
      </c>
      <c r="E45" s="4" t="str">
        <f>K47</f>
        <v>ARRIOLA - RONCHI</v>
      </c>
      <c r="F45" s="4" t="str">
        <f>K46</f>
        <v>SANCER - SANCER</v>
      </c>
      <c r="G45" s="45">
        <v>17</v>
      </c>
      <c r="H45" s="45">
        <v>21</v>
      </c>
      <c r="J45" s="7">
        <f>RANK(P45,P45:P48,0)</f>
        <v>3</v>
      </c>
      <c r="K45" s="10" t="str">
        <f>Entradas!A6</f>
        <v>MARTINEZ - DALMAU</v>
      </c>
      <c r="L45" s="4">
        <f>(IF(G45&gt;H45,1,IF(G45&lt;H45,0,))+(IF(G47&gt;H47,1,IF(G47&lt;H47,0,))+(IF(G49&gt;H49,1,IF(G49&lt;H49,0,)))))</f>
        <v>1</v>
      </c>
      <c r="M45" s="4">
        <f>G45+G47+G49</f>
        <v>49</v>
      </c>
      <c r="N45" s="4">
        <f>H45+H47+H49</f>
        <v>51</v>
      </c>
      <c r="O45" s="20">
        <f>IFERROR(M45/N45,"Max")</f>
        <v>0.96078431372549022</v>
      </c>
      <c r="P45" s="20">
        <f>IF(O45="Max",400,(L45*100)+O45)</f>
        <v>100.96078431372548</v>
      </c>
      <c r="R45" s="21">
        <v>1</v>
      </c>
      <c r="S45" s="7" t="str">
        <f>IF($L45+$L46+$L47+$L48=6,INDEX(K45:K48,MATCH($R45,J45:J48,0)),"Pdte")</f>
        <v>SANCER - SANCER</v>
      </c>
    </row>
    <row r="46" spans="2:19" ht="22.5" customHeight="1">
      <c r="B46" s="8">
        <f>B54+$O$1</f>
        <v>0.40972222222222221</v>
      </c>
      <c r="C46" s="43">
        <f>L6</f>
        <v>7</v>
      </c>
      <c r="D46" s="4" t="str">
        <f>K46</f>
        <v>SANCER - SANCER</v>
      </c>
      <c r="E46" s="4" t="str">
        <f>K48</f>
        <v>FISCHER - DIEDERICHS</v>
      </c>
      <c r="F46" s="4" t="str">
        <f>K45</f>
        <v>MARTINEZ - DALMAU</v>
      </c>
      <c r="G46" s="45">
        <v>21</v>
      </c>
      <c r="H46" s="45">
        <v>10</v>
      </c>
      <c r="J46" s="7">
        <f>RANK(P46,P45:P48,0)</f>
        <v>1</v>
      </c>
      <c r="K46" s="10" t="str">
        <f>Entradas!A13</f>
        <v>SANCER - SANCER</v>
      </c>
      <c r="L46" s="4">
        <f>(IF(G46&gt;H46,1,IF(G46&lt;H46,0,))+(IF(G48&gt;H48,1,IF(G48&lt;H48,0,))+(IF(H49&gt;G49,1,IF(H49&lt;G49,0,)))))</f>
        <v>3</v>
      </c>
      <c r="M46" s="4">
        <f>G46+G48+H49</f>
        <v>66</v>
      </c>
      <c r="N46" s="4">
        <f>H46+H48+G49</f>
        <v>43</v>
      </c>
      <c r="O46" s="20">
        <f>IFERROR(M46/N46,"Max")</f>
        <v>1.5348837209302326</v>
      </c>
      <c r="P46" s="20">
        <f>IF(O46="Max",400,(L46*100)+O46)</f>
        <v>301.53488372093022</v>
      </c>
      <c r="R46" s="21">
        <v>2</v>
      </c>
      <c r="S46" s="7" t="str">
        <f>IF($L46+$L47+$L48+$L45=6,INDEX(K45:K48,MATCH($R46,J45:J48,0)),"Pdte")</f>
        <v>ARRIOLA - RONCHI</v>
      </c>
    </row>
    <row r="47" spans="2:19" ht="22.5" customHeight="1">
      <c r="B47" s="8">
        <f>B55+$O$1</f>
        <v>0.44444444444444442</v>
      </c>
      <c r="C47" s="43">
        <f>L6</f>
        <v>7</v>
      </c>
      <c r="D47" s="4" t="str">
        <f>K45</f>
        <v>MARTINEZ - DALMAU</v>
      </c>
      <c r="E47" s="4" t="str">
        <f>K48</f>
        <v>FISCHER - DIEDERICHS</v>
      </c>
      <c r="F47" s="4" t="str">
        <f>K47</f>
        <v>ARRIOLA - RONCHI</v>
      </c>
      <c r="G47" s="45">
        <v>21</v>
      </c>
      <c r="H47" s="45">
        <v>9</v>
      </c>
      <c r="J47" s="7">
        <f>RANK(P47,P45:P48,0)</f>
        <v>2</v>
      </c>
      <c r="K47" s="10" t="str">
        <f>Entradas!A22</f>
        <v>ARRIOLA - RONCHI</v>
      </c>
      <c r="L47" s="4">
        <f>(IF(H45&gt;G45,1,IF(H45&lt;G45,0,))+(IF(H48&gt;G48,1,IF(H48&lt;G48,0,))+(IF(G50&gt;H50,1,IF(G50&lt;H50,0,)))))</f>
        <v>2</v>
      </c>
      <c r="M47" s="4">
        <f>H45+H48+G50</f>
        <v>64</v>
      </c>
      <c r="N47" s="4">
        <f>G45+G48+H50</f>
        <v>50</v>
      </c>
      <c r="O47" s="20">
        <f>IFERROR(M47/N47,"Max")</f>
        <v>1.28</v>
      </c>
      <c r="P47" s="20">
        <f>IF(O47="Max",400,(L47*100)+O47)</f>
        <v>201.28</v>
      </c>
      <c r="R47" s="21">
        <v>3</v>
      </c>
      <c r="S47" s="7" t="str">
        <f>IF($L47+$L48+$L45+$L46=6,INDEX(K45:K48,MATCH($R47,J45:J48,0)),"Pdte")</f>
        <v>MARTINEZ - DALMAU</v>
      </c>
    </row>
    <row r="48" spans="2:19" ht="22.5" customHeight="1">
      <c r="B48" s="8">
        <f>B56+$O$1</f>
        <v>0.47916666666666663</v>
      </c>
      <c r="C48" s="43">
        <f>L6</f>
        <v>7</v>
      </c>
      <c r="D48" s="4" t="str">
        <f>K46</f>
        <v>SANCER - SANCER</v>
      </c>
      <c r="E48" s="4" t="str">
        <f>K47</f>
        <v>ARRIOLA - RONCHI</v>
      </c>
      <c r="F48" s="4" t="str">
        <f>K45</f>
        <v>MARTINEZ - DALMAU</v>
      </c>
      <c r="G48" s="45">
        <v>24</v>
      </c>
      <c r="H48" s="45">
        <v>22</v>
      </c>
      <c r="J48" s="7">
        <f>RANK(P48,P45:P48,0)</f>
        <v>4</v>
      </c>
      <c r="K48" s="10" t="str">
        <f>Entradas!A29</f>
        <v>FISCHER - DIEDERICHS</v>
      </c>
      <c r="L48" s="4">
        <f>(IF(H46&gt;G46,1,IF(H46&lt;G46,0,))+(IF(H47&gt;G47,1,IF(H47&lt;G47,0,))+(IF(H50&gt;G50,1,IF(H50&lt;G50,0,)))))</f>
        <v>0</v>
      </c>
      <c r="M48" s="4">
        <f>H46+H47+H50</f>
        <v>28</v>
      </c>
      <c r="N48" s="4">
        <f>G46+G47+G50</f>
        <v>63</v>
      </c>
      <c r="O48" s="20">
        <f>IFERROR(M48/N48,"Max")</f>
        <v>0.44444444444444442</v>
      </c>
      <c r="P48" s="20">
        <f>IF(O48="Max",400,(L48*100)+O48)</f>
        <v>0.44444444444444442</v>
      </c>
      <c r="R48" s="21">
        <v>4</v>
      </c>
      <c r="S48" s="7" t="str">
        <f>IF($L45+$L46+$L47+$L48=6,INDEX(K45:K48,MATCH($R48,J45:J48,0)),"Pdte")</f>
        <v>FISCHER - DIEDERICHS</v>
      </c>
    </row>
    <row r="49" spans="2:19" ht="22.5" customHeight="1">
      <c r="B49" s="8">
        <f>B57+$O$1</f>
        <v>0.51388888888888884</v>
      </c>
      <c r="C49" s="43">
        <f>L6</f>
        <v>7</v>
      </c>
      <c r="D49" s="4" t="str">
        <f>K45</f>
        <v>MARTINEZ - DALMAU</v>
      </c>
      <c r="E49" s="4" t="str">
        <f>K46</f>
        <v>SANCER - SANCER</v>
      </c>
      <c r="F49" s="4" t="str">
        <f>K48</f>
        <v>FISCHER - DIEDERICHS</v>
      </c>
      <c r="G49" s="45">
        <v>11</v>
      </c>
      <c r="H49" s="45">
        <v>21</v>
      </c>
    </row>
    <row r="50" spans="2:19" ht="22.5" customHeight="1">
      <c r="B50" s="8">
        <f>B58+$O$1</f>
        <v>0.54861111111111116</v>
      </c>
      <c r="C50" s="43">
        <f>L6</f>
        <v>7</v>
      </c>
      <c r="D50" s="4" t="str">
        <f>K47</f>
        <v>ARRIOLA - RONCHI</v>
      </c>
      <c r="E50" s="4" t="str">
        <f>K48</f>
        <v>FISCHER - DIEDERICHS</v>
      </c>
      <c r="F50" s="4" t="str">
        <f>K46</f>
        <v>SANCER - SANCER</v>
      </c>
      <c r="G50" s="45">
        <v>21</v>
      </c>
      <c r="H50" s="45">
        <v>9</v>
      </c>
    </row>
    <row r="51" spans="2:19" ht="22.5" customHeight="1"/>
    <row r="52" spans="2:19" ht="22.5" customHeight="1"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2:19" s="11" customFormat="1" ht="22.5" customHeight="1">
      <c r="B53" s="4" t="s">
        <v>2</v>
      </c>
      <c r="C53" s="4" t="s">
        <v>3</v>
      </c>
      <c r="D53" s="10" t="s">
        <v>4</v>
      </c>
      <c r="E53" s="10" t="s">
        <v>5</v>
      </c>
      <c r="F53" s="4" t="s">
        <v>14</v>
      </c>
      <c r="G53" s="10" t="s">
        <v>7</v>
      </c>
      <c r="H53" s="10" t="s">
        <v>7</v>
      </c>
      <c r="J53" s="7" t="s">
        <v>8</v>
      </c>
      <c r="K53" s="9" t="s">
        <v>60</v>
      </c>
      <c r="L53" s="4" t="s">
        <v>9</v>
      </c>
      <c r="M53" s="4" t="s">
        <v>10</v>
      </c>
      <c r="N53" s="4" t="s">
        <v>11</v>
      </c>
      <c r="O53" s="10" t="s">
        <v>12</v>
      </c>
      <c r="P53" s="10" t="s">
        <v>26</v>
      </c>
      <c r="Q53"/>
      <c r="R53" s="4" t="s">
        <v>13</v>
      </c>
      <c r="S53" s="4" t="str">
        <f>K53</f>
        <v>Grup 6 Matí</v>
      </c>
    </row>
    <row r="54" spans="2:19" s="11" customFormat="1" ht="22.5" customHeight="1">
      <c r="B54" s="8">
        <f t="shared" ref="B54:B59" si="2">B45+$O$1</f>
        <v>0.3923611111111111</v>
      </c>
      <c r="C54" s="4">
        <f>L6</f>
        <v>7</v>
      </c>
      <c r="D54" s="10" t="str">
        <f>K54</f>
        <v>MURO - GALA</v>
      </c>
      <c r="E54" s="10" t="str">
        <f>K56</f>
        <v>GALINDO - VERDAGUER</v>
      </c>
      <c r="F54" s="19" t="str">
        <f>K55</f>
        <v>TOMAS - ROMAN</v>
      </c>
      <c r="G54" s="45">
        <v>21</v>
      </c>
      <c r="H54" s="15">
        <v>15</v>
      </c>
      <c r="J54" s="7">
        <f>RANK(P54,P54:P57,0)</f>
        <v>1</v>
      </c>
      <c r="K54" s="10" t="str">
        <f>Entradas!A7</f>
        <v>MURO - GALA</v>
      </c>
      <c r="L54" s="4">
        <f>(IF(G54&gt;H54,1,IF(G54&lt;H54,0,))+(IF(G56&gt;H56,1,IF(G56&lt;H56,0,))+(IF(G58&gt;H58,1,IF(G58&lt;H58,0,)))))</f>
        <v>3</v>
      </c>
      <c r="M54" s="4">
        <f>G54+G56+G58</f>
        <v>63</v>
      </c>
      <c r="N54" s="4">
        <f>H54+H56+H58</f>
        <v>41</v>
      </c>
      <c r="O54" s="20">
        <f>IFERROR(M54/N54,"Max")</f>
        <v>1.5365853658536586</v>
      </c>
      <c r="P54" s="20">
        <f>IF(O54="Max",400,(L54*100)+O54)</f>
        <v>301.53658536585368</v>
      </c>
      <c r="Q54"/>
      <c r="R54" s="21">
        <v>1</v>
      </c>
      <c r="S54" s="7" t="str">
        <f>IF($L54+$L55+$L56+$L57=6,INDEX(K54:K57,MATCH($R54,J54:J57,0)),"Pdte")</f>
        <v>MURO - GALA</v>
      </c>
    </row>
    <row r="55" spans="2:19" s="11" customFormat="1" ht="22.5" customHeight="1">
      <c r="B55" s="8">
        <f t="shared" si="2"/>
        <v>0.42708333333333331</v>
      </c>
      <c r="C55" s="4">
        <f>L6</f>
        <v>7</v>
      </c>
      <c r="D55" s="10" t="str">
        <f>K55</f>
        <v>TOMAS - ROMAN</v>
      </c>
      <c r="E55" s="10" t="str">
        <f>K57</f>
        <v>MENDEZ - SOTO</v>
      </c>
      <c r="F55" s="19" t="str">
        <f>K54</f>
        <v>MURO - GALA</v>
      </c>
      <c r="G55" s="45">
        <v>21</v>
      </c>
      <c r="H55" s="15">
        <v>14</v>
      </c>
      <c r="J55" s="7">
        <f>RANK(P55,P54:P57,0)</f>
        <v>2</v>
      </c>
      <c r="K55" s="10" t="str">
        <f>Entradas!A12</f>
        <v>TOMAS - ROMAN</v>
      </c>
      <c r="L55" s="4">
        <f>(IF(G55&gt;H55,1,IF(G55&lt;H55,0,))+(IF(G57&gt;H57,1,IF(G57&lt;H57,0,))+(IF(H58&gt;G58,1,IF(H58&lt;G58,0,)))))</f>
        <v>1</v>
      </c>
      <c r="M55" s="4">
        <f>G55+G57+H58</f>
        <v>55</v>
      </c>
      <c r="N55" s="4">
        <f>H55+H57+G58</f>
        <v>56</v>
      </c>
      <c r="O55" s="20">
        <f>IFERROR(M55/N55,"Max")</f>
        <v>0.9821428571428571</v>
      </c>
      <c r="P55" s="20">
        <f>IF(O55="Max",400,(L55*100)+O55)</f>
        <v>100.98214285714286</v>
      </c>
      <c r="Q55"/>
      <c r="R55" s="21">
        <v>2</v>
      </c>
      <c r="S55" s="7" t="str">
        <f>IF($L55+$L56+$L57+$L54=6,INDEX(K54:K57,MATCH($R55,J54:J57,0)),"Pdte")</f>
        <v>TOMAS - ROMAN</v>
      </c>
    </row>
    <row r="56" spans="2:19" s="11" customFormat="1" ht="22.5" customHeight="1">
      <c r="B56" s="8">
        <f t="shared" si="2"/>
        <v>0.46180555555555552</v>
      </c>
      <c r="C56" s="4">
        <f>L6</f>
        <v>7</v>
      </c>
      <c r="D56" s="10" t="str">
        <f>K54</f>
        <v>MURO - GALA</v>
      </c>
      <c r="E56" s="10" t="str">
        <f>K57</f>
        <v>MENDEZ - SOTO</v>
      </c>
      <c r="F56" s="19" t="str">
        <f>K56</f>
        <v>GALINDO - VERDAGUER</v>
      </c>
      <c r="G56" s="45">
        <v>21</v>
      </c>
      <c r="H56" s="15">
        <v>8</v>
      </c>
      <c r="J56" s="7">
        <f>RANK(P56,P54:P57,0)</f>
        <v>3</v>
      </c>
      <c r="K56" s="10" t="str">
        <f>Entradas!A23</f>
        <v>GALINDO - VERDAGUER</v>
      </c>
      <c r="L56" s="4">
        <f>(IF(H54&gt;G54,1,IF(H54&lt;G54,0,))+(IF(H57&gt;G57,1,IF(H57&lt;G57,0,))+(IF(G59&gt;H59,1,IF(G59&lt;H59,0,)))))</f>
        <v>1</v>
      </c>
      <c r="M56" s="4">
        <f>H54+H57+G59</f>
        <v>53</v>
      </c>
      <c r="N56" s="4">
        <f>G54+G57+H59</f>
        <v>58</v>
      </c>
      <c r="O56" s="20">
        <f>IFERROR(M56/N56,"Max")</f>
        <v>0.91379310344827591</v>
      </c>
      <c r="P56" s="20">
        <f>IF(O56="Max",400,(L56*100)+O56)</f>
        <v>100.91379310344827</v>
      </c>
      <c r="Q56"/>
      <c r="R56" s="21">
        <v>3</v>
      </c>
      <c r="S56" s="7" t="str">
        <f>IF($L56+$L57+$L54+$L55=6,INDEX(K54:K57,MATCH($R56,J54:J57,0)),"Pdte")</f>
        <v>GALINDO - VERDAGUER</v>
      </c>
    </row>
    <row r="57" spans="2:19" s="11" customFormat="1" ht="22.5" customHeight="1">
      <c r="B57" s="8">
        <f t="shared" si="2"/>
        <v>0.49652777777777773</v>
      </c>
      <c r="C57" s="4">
        <f>L6</f>
        <v>7</v>
      </c>
      <c r="D57" s="10" t="str">
        <f>K55</f>
        <v>TOMAS - ROMAN</v>
      </c>
      <c r="E57" s="10" t="str">
        <f>K56</f>
        <v>GALINDO - VERDAGUER</v>
      </c>
      <c r="F57" s="19" t="str">
        <f>K57</f>
        <v>MENDEZ - SOTO</v>
      </c>
      <c r="G57" s="45">
        <v>16</v>
      </c>
      <c r="H57" s="15">
        <v>21</v>
      </c>
      <c r="J57" s="7">
        <f>RANK(P57,P54:P57,0)</f>
        <v>4</v>
      </c>
      <c r="K57" s="10" t="str">
        <f>Entradas!A28</f>
        <v>MENDEZ - SOTO</v>
      </c>
      <c r="L57" s="4">
        <f>(IF(H55&gt;G55,1,IF(H55&lt;G55,0,))+(IF(H56&gt;G56,1,IF(H56&lt;G56,0,))+(IF(H59&gt;G59,1,IF(H59&lt;G59,0,)))))</f>
        <v>1</v>
      </c>
      <c r="M57" s="4">
        <f>H55+H56+H59</f>
        <v>43</v>
      </c>
      <c r="N57" s="4">
        <f>G55+G56+G59</f>
        <v>59</v>
      </c>
      <c r="O57" s="20">
        <f>IFERROR(M57/N57,"Max")</f>
        <v>0.72881355932203384</v>
      </c>
      <c r="P57" s="20">
        <f>IF(O57="Max",400,(L57*100)+O57)</f>
        <v>100.72881355932203</v>
      </c>
      <c r="Q57"/>
      <c r="R57" s="21">
        <v>4</v>
      </c>
      <c r="S57" s="7" t="str">
        <f>IF($L54+$L55+$L56+$L57=6,INDEX(K54:K57,MATCH($R57,J54:J57,0)),"Pdte")</f>
        <v>MENDEZ - SOTO</v>
      </c>
    </row>
    <row r="58" spans="2:19" s="11" customFormat="1" ht="22.5" customHeight="1">
      <c r="B58" s="8">
        <f t="shared" si="2"/>
        <v>0.53125</v>
      </c>
      <c r="C58" s="4">
        <f>L6</f>
        <v>7</v>
      </c>
      <c r="D58" s="10" t="str">
        <f>K54</f>
        <v>MURO - GALA</v>
      </c>
      <c r="E58" s="10" t="str">
        <f>K55</f>
        <v>TOMAS - ROMAN</v>
      </c>
      <c r="F58" s="19" t="str">
        <f>K56</f>
        <v>GALINDO - VERDAGUER</v>
      </c>
      <c r="G58" s="45">
        <v>21</v>
      </c>
      <c r="H58" s="15">
        <v>18</v>
      </c>
    </row>
    <row r="59" spans="2:19" s="11" customFormat="1" ht="22.5" customHeight="1">
      <c r="B59" s="8">
        <f t="shared" si="2"/>
        <v>0.56597222222222232</v>
      </c>
      <c r="C59" s="4">
        <f>L6</f>
        <v>7</v>
      </c>
      <c r="D59" s="10" t="str">
        <f>K56</f>
        <v>GALINDO - VERDAGUER</v>
      </c>
      <c r="E59" s="10" t="str">
        <f>K57</f>
        <v>MENDEZ - SOTO</v>
      </c>
      <c r="F59" s="19" t="str">
        <f>K54</f>
        <v>MURO - GALA</v>
      </c>
      <c r="G59" s="45">
        <v>17</v>
      </c>
      <c r="H59" s="15">
        <v>21</v>
      </c>
    </row>
    <row r="60" spans="2:19" s="11" customFormat="1" ht="22.5" customHeight="1">
      <c r="B60" s="12"/>
      <c r="C60" s="12"/>
      <c r="J60"/>
      <c r="L60"/>
      <c r="M60"/>
      <c r="N60"/>
      <c r="O60"/>
      <c r="P60"/>
      <c r="Q60"/>
      <c r="R60"/>
      <c r="S60"/>
    </row>
    <row r="61" spans="2:19" ht="22.5" customHeight="1">
      <c r="B61" s="4" t="s">
        <v>2</v>
      </c>
      <c r="C61" s="4" t="s">
        <v>3</v>
      </c>
      <c r="D61" s="4" t="s">
        <v>4</v>
      </c>
      <c r="E61" s="4" t="s">
        <v>5</v>
      </c>
      <c r="F61" s="4" t="s">
        <v>6</v>
      </c>
      <c r="G61" s="4" t="s">
        <v>22</v>
      </c>
      <c r="H61" s="4" t="s">
        <v>7</v>
      </c>
      <c r="J61" s="7" t="s">
        <v>8</v>
      </c>
      <c r="K61" s="9" t="s">
        <v>69</v>
      </c>
      <c r="L61" s="4" t="s">
        <v>9</v>
      </c>
      <c r="M61" s="4" t="s">
        <v>10</v>
      </c>
      <c r="N61" s="4" t="s">
        <v>11</v>
      </c>
      <c r="O61" s="10" t="s">
        <v>12</v>
      </c>
      <c r="P61" s="10" t="s">
        <v>24</v>
      </c>
      <c r="R61" s="4" t="s">
        <v>13</v>
      </c>
      <c r="S61" s="4" t="str">
        <f>K61</f>
        <v>Grup 7 Matí</v>
      </c>
    </row>
    <row r="62" spans="2:19" ht="22.5" customHeight="1">
      <c r="B62" s="8">
        <f>L1</f>
        <v>0.375</v>
      </c>
      <c r="C62" s="4">
        <f>L7</f>
        <v>8</v>
      </c>
      <c r="D62" s="4" t="str">
        <f>K64</f>
        <v>MYKINA - NAVAS</v>
      </c>
      <c r="E62" s="4" t="str">
        <f>K65</f>
        <v>GOMEZ - PONSA</v>
      </c>
      <c r="F62" s="4" t="str">
        <f>K62</f>
        <v>ROVIRA - GIMENO</v>
      </c>
      <c r="G62" s="45">
        <v>21</v>
      </c>
      <c r="H62" s="45">
        <v>17</v>
      </c>
      <c r="J62" s="7">
        <f>RANK(P62,P62:P66,0)</f>
        <v>2</v>
      </c>
      <c r="K62" s="10" t="str">
        <f>Entradas!A8</f>
        <v>ROVIRA - GIMENO</v>
      </c>
      <c r="L62" s="4">
        <f>(IF(G63&gt;H63,1,IF(G63&lt;H63,0,))+(IF(G65&gt;H65,1,IF(G65&lt;H65,0,))+(IF(G67&gt;H67,1,IF(G67&lt;H67,0,))+(IF(G70&gt;H70,1,IF(G70&lt;H70,0,))))))</f>
        <v>3</v>
      </c>
      <c r="M62" s="4">
        <f>G63+G65+G67+G70</f>
        <v>86</v>
      </c>
      <c r="N62" s="4">
        <f>H63+H65+H67+H70</f>
        <v>74</v>
      </c>
      <c r="O62" s="20">
        <f>IFERROR(M62/N62,"Max")</f>
        <v>1.1621621621621621</v>
      </c>
      <c r="P62" s="20">
        <f>IF(O62="Max",500,(L62*100)+O62)</f>
        <v>301.16216216216219</v>
      </c>
      <c r="R62" s="21">
        <v>1</v>
      </c>
      <c r="S62" s="7" t="str">
        <f>IF($L62+$L63+$L64+$L65+L66=10,INDEX(K62:K66,MATCH($R62,J62:J66,0)),"Pdte")</f>
        <v>MYKINA - NAVAS</v>
      </c>
    </row>
    <row r="63" spans="2:19" ht="22.5" customHeight="1">
      <c r="B63" s="8">
        <f t="shared" ref="B63:B71" si="3">B62+$O$1</f>
        <v>0.3923611111111111</v>
      </c>
      <c r="C63" s="4">
        <f>L7</f>
        <v>8</v>
      </c>
      <c r="D63" s="4" t="str">
        <f>K62</f>
        <v>ROVIRA - GIMENO</v>
      </c>
      <c r="E63" s="4" t="str">
        <f>K66</f>
        <v>CICCONE - SARI</v>
      </c>
      <c r="F63" s="4" t="str">
        <f>K63</f>
        <v>GALLEGO - CLAVERO</v>
      </c>
      <c r="G63" s="45">
        <v>21</v>
      </c>
      <c r="H63" s="45">
        <v>14</v>
      </c>
      <c r="J63" s="7">
        <f>RANK(P63,P62:P66,0)</f>
        <v>3</v>
      </c>
      <c r="K63" s="10" t="str">
        <f>Entradas!A11</f>
        <v>GALLEGO - CLAVERO</v>
      </c>
      <c r="L63" s="4">
        <f>(IF(G64&gt;H64,1,IF(G64&lt;H64,0,))+(IF(G66&gt;H66,1,IF(G66&lt;H66,0,))+(IF(G68&gt;H68,1,IF(G68&lt;H68,0,))+IF(H70&gt;G70,1,IF(H70&lt;G70,0,)))))</f>
        <v>2</v>
      </c>
      <c r="M63" s="4">
        <f>G64+G66+G68+H70</f>
        <v>83</v>
      </c>
      <c r="N63" s="4">
        <f>H64+H66+H68+G70</f>
        <v>71</v>
      </c>
      <c r="O63" s="20">
        <f t="shared" ref="O63:O66" si="4">IFERROR(M63/N63,"Max")</f>
        <v>1.1690140845070423</v>
      </c>
      <c r="P63" s="20">
        <f t="shared" ref="P63:P65" si="5">IF(O63="Max",500,(L63*100)+O63)</f>
        <v>201.16901408450704</v>
      </c>
      <c r="R63" s="21">
        <v>2</v>
      </c>
      <c r="S63" s="7" t="str">
        <f>IF($L63+$L64+$L65+$L66+L62=10,INDEX(K62:K66,MATCH($R63,J62:J66,0)),"Pdte")</f>
        <v>ROVIRA - GIMENO</v>
      </c>
    </row>
    <row r="64" spans="2:19" ht="22.5" customHeight="1">
      <c r="B64" s="8">
        <f t="shared" si="3"/>
        <v>0.40972222222222221</v>
      </c>
      <c r="C64" s="4">
        <f>L7</f>
        <v>8</v>
      </c>
      <c r="D64" s="57" t="str">
        <f>K63</f>
        <v>GALLEGO - CLAVERO</v>
      </c>
      <c r="E64" s="57" t="str">
        <f>K65</f>
        <v>GOMEZ - PONSA</v>
      </c>
      <c r="F64" s="57" t="str">
        <f>K64</f>
        <v>MYKINA - NAVAS</v>
      </c>
      <c r="G64" s="58">
        <v>21</v>
      </c>
      <c r="H64" s="58">
        <v>15</v>
      </c>
      <c r="J64" s="7">
        <f>RANK(P64,P62:P66,0)</f>
        <v>1</v>
      </c>
      <c r="K64" s="10" t="str">
        <f>Entradas!A24</f>
        <v>MYKINA - NAVAS</v>
      </c>
      <c r="L64" s="4">
        <f>(IF(G62&gt;H62,1,IF(G62&lt;H62,0,))+(IF(H65&gt;G65,1,IF(H65&lt;G65,0,))+(IF(H68&gt;G68,1,IF(H68&lt;G68,0,))+(IF(G71&gt;H71,1,IF(G71&lt;H71,0,))))))</f>
        <v>3</v>
      </c>
      <c r="M64" s="4">
        <f>H65+H68+G62+G71</f>
        <v>79</v>
      </c>
      <c r="N64" s="4">
        <f>G65+G68+H62+H71</f>
        <v>64</v>
      </c>
      <c r="O64" s="20">
        <f t="shared" si="4"/>
        <v>1.234375</v>
      </c>
      <c r="P64" s="20">
        <f t="shared" si="5"/>
        <v>301.234375</v>
      </c>
      <c r="R64" s="21">
        <v>3</v>
      </c>
      <c r="S64" s="7" t="str">
        <f>IF($L64+$L65+$L66+$L63+L62=10,INDEX(K62:K66,MATCH($R64,J62:J66,0)),"Pdte")</f>
        <v>GALLEGO - CLAVERO</v>
      </c>
    </row>
    <row r="65" spans="2:19" ht="22.5" customHeight="1">
      <c r="B65" s="8">
        <f t="shared" si="3"/>
        <v>0.42708333333333331</v>
      </c>
      <c r="C65" s="4">
        <f>L7</f>
        <v>8</v>
      </c>
      <c r="D65" s="4" t="str">
        <f>K62</f>
        <v>ROVIRA - GIMENO</v>
      </c>
      <c r="E65" s="4" t="str">
        <f>K64</f>
        <v>MYKINA - NAVAS</v>
      </c>
      <c r="F65" s="4" t="str">
        <f>K66</f>
        <v>CICCONE - SARI</v>
      </c>
      <c r="G65" s="45">
        <v>21</v>
      </c>
      <c r="H65" s="45">
        <v>16</v>
      </c>
      <c r="J65" s="7">
        <f>RANK(P65,P62:P66,0)</f>
        <v>4</v>
      </c>
      <c r="K65" s="10" t="str">
        <f>Entradas!A27</f>
        <v>GOMEZ - PONSA</v>
      </c>
      <c r="L65" s="4">
        <f>(IF(H62&gt;G62,1,IF(H62&lt;G62,0,))+(IF(H64&gt;G64,1,IF(H64&lt;G64,0,))+(IF(H67&gt;G67,1,IF(H67&lt;G67,0,))+(IF(G69&gt;H69,1,IF(G69&lt;H69,0,))))))</f>
        <v>2</v>
      </c>
      <c r="M65" s="4">
        <f>H64+H67+H62+G69</f>
        <v>74</v>
      </c>
      <c r="N65" s="4">
        <f>G64+G67+G62+H69</f>
        <v>76</v>
      </c>
      <c r="O65" s="20">
        <f t="shared" si="4"/>
        <v>0.97368421052631582</v>
      </c>
      <c r="P65" s="20">
        <f t="shared" si="5"/>
        <v>200.97368421052633</v>
      </c>
      <c r="R65" s="21">
        <v>4</v>
      </c>
      <c r="S65" s="7" t="str">
        <f>IF($L65+$L66+$L64+$L63+L62=10,INDEX(K62:K66,MATCH($R65,J62:J66,0)),"Pdte")</f>
        <v>GOMEZ - PONSA</v>
      </c>
    </row>
    <row r="66" spans="2:19" ht="22.5" customHeight="1">
      <c r="B66" s="8">
        <f t="shared" si="3"/>
        <v>0.44444444444444442</v>
      </c>
      <c r="C66" s="4">
        <f>L7</f>
        <v>8</v>
      </c>
      <c r="D66" s="4" t="str">
        <f>K63</f>
        <v>GALLEGO - CLAVERO</v>
      </c>
      <c r="E66" s="4" t="str">
        <f>K66</f>
        <v>CICCONE - SARI</v>
      </c>
      <c r="F66" s="4" t="str">
        <f>K65</f>
        <v>GOMEZ - PONSA</v>
      </c>
      <c r="G66" s="45">
        <v>21</v>
      </c>
      <c r="H66" s="45">
        <v>10</v>
      </c>
      <c r="J66" s="7">
        <f>RANK(P66,P62:P66,0)</f>
        <v>5</v>
      </c>
      <c r="K66" s="10" t="str">
        <f>Entradas!A34</f>
        <v>CICCONE - SARI</v>
      </c>
      <c r="L66" s="4">
        <f>(IF(H63&gt;G63,1,IF(H63&lt;G63,0,))+(IF(H66&gt;G66,1,IF(H66&lt;G66,0,))+(IF(H69&gt;G69,1,IF(H69&lt;G69,0,))+(IF(H71&gt;G71,1,IF(H71&lt;G71,0,))))))</f>
        <v>0</v>
      </c>
      <c r="M66" s="4">
        <f>H63+H66+H69+H71</f>
        <v>47</v>
      </c>
      <c r="N66" s="4">
        <f>G63+G66+G69+G71</f>
        <v>84</v>
      </c>
      <c r="O66" s="20">
        <f t="shared" si="4"/>
        <v>0.55952380952380953</v>
      </c>
      <c r="P66" s="20">
        <f>IF(O66="Max",500,(L66*100)+O66)</f>
        <v>0.55952380952380953</v>
      </c>
      <c r="R66" s="21">
        <v>5</v>
      </c>
      <c r="S66" s="7" t="str">
        <f>IF($L66+$L65+$L64+$L63+L62=10,INDEX(K62:K66,MATCH($R66,J62:J66,0)),"Pdte")</f>
        <v>CICCONE - SARI</v>
      </c>
    </row>
    <row r="67" spans="2:19" ht="22.5" customHeight="1">
      <c r="B67" s="8">
        <f t="shared" si="3"/>
        <v>0.46180555555555552</v>
      </c>
      <c r="C67" s="4">
        <f>L7</f>
        <v>8</v>
      </c>
      <c r="D67" s="4" t="str">
        <f>K62</f>
        <v>ROVIRA - GIMENO</v>
      </c>
      <c r="E67" s="4" t="str">
        <f>K65</f>
        <v>GOMEZ - PONSA</v>
      </c>
      <c r="F67" s="4" t="str">
        <f>K63</f>
        <v>GALLEGO - CLAVERO</v>
      </c>
      <c r="G67" s="45">
        <v>19</v>
      </c>
      <c r="H67" s="45">
        <v>21</v>
      </c>
      <c r="K67" s="11"/>
    </row>
    <row r="68" spans="2:19" ht="22.5" customHeight="1">
      <c r="B68" s="8">
        <f t="shared" si="3"/>
        <v>0.47916666666666663</v>
      </c>
      <c r="C68" s="4">
        <f>L7</f>
        <v>8</v>
      </c>
      <c r="D68" s="4" t="str">
        <f>K63</f>
        <v>GALLEGO - CLAVERO</v>
      </c>
      <c r="E68" s="4" t="str">
        <f>K64</f>
        <v>MYKINA - NAVAS</v>
      </c>
      <c r="F68" s="4" t="str">
        <f>K62</f>
        <v>ROVIRA - GIMENO</v>
      </c>
      <c r="G68" s="45">
        <v>18</v>
      </c>
      <c r="H68" s="45">
        <v>21</v>
      </c>
      <c r="K68" s="11"/>
    </row>
    <row r="69" spans="2:19" ht="22.5" customHeight="1">
      <c r="B69" s="8">
        <f t="shared" si="3"/>
        <v>0.49652777777777773</v>
      </c>
      <c r="C69" s="4">
        <f>L7</f>
        <v>8</v>
      </c>
      <c r="D69" s="4" t="str">
        <f>K65</f>
        <v>GOMEZ - PONSA</v>
      </c>
      <c r="E69" s="4" t="str">
        <f>K66</f>
        <v>CICCONE - SARI</v>
      </c>
      <c r="F69" s="4" t="str">
        <f>K64</f>
        <v>MYKINA - NAVAS</v>
      </c>
      <c r="G69" s="45">
        <v>21</v>
      </c>
      <c r="H69" s="45">
        <v>15</v>
      </c>
      <c r="J69" s="47"/>
      <c r="K69" s="11"/>
      <c r="M69" s="47"/>
    </row>
    <row r="70" spans="2:19" ht="22.5" customHeight="1">
      <c r="B70" s="8">
        <f t="shared" si="3"/>
        <v>0.51388888888888884</v>
      </c>
      <c r="C70" s="4">
        <f>L7</f>
        <v>8</v>
      </c>
      <c r="D70" s="4" t="str">
        <f>K62</f>
        <v>ROVIRA - GIMENO</v>
      </c>
      <c r="E70" s="4" t="str">
        <f>K63</f>
        <v>GALLEGO - CLAVERO</v>
      </c>
      <c r="F70" s="4" t="str">
        <f>K66</f>
        <v>CICCONE - SARI</v>
      </c>
      <c r="G70" s="45">
        <v>25</v>
      </c>
      <c r="H70" s="45">
        <v>23</v>
      </c>
      <c r="K70" s="11"/>
    </row>
    <row r="71" spans="2:19" ht="22.5" customHeight="1">
      <c r="B71" s="8">
        <f t="shared" si="3"/>
        <v>0.53125</v>
      </c>
      <c r="C71" s="4">
        <f>L7</f>
        <v>8</v>
      </c>
      <c r="D71" s="4" t="str">
        <f>K64</f>
        <v>MYKINA - NAVAS</v>
      </c>
      <c r="E71" s="4" t="str">
        <f>K66</f>
        <v>CICCONE - SARI</v>
      </c>
      <c r="F71" s="4" t="str">
        <f>K65</f>
        <v>GOMEZ - PONSA</v>
      </c>
      <c r="G71" s="45">
        <v>21</v>
      </c>
      <c r="H71" s="45">
        <v>8</v>
      </c>
      <c r="K71" s="11"/>
    </row>
    <row r="72" spans="2:19" ht="22.5" customHeight="1">
      <c r="F72" s="11"/>
      <c r="G72" s="11"/>
      <c r="K72" s="11"/>
    </row>
    <row r="73" spans="2:19" ht="22.5" customHeight="1">
      <c r="B73" s="4" t="s">
        <v>2</v>
      </c>
      <c r="C73" s="4" t="s">
        <v>3</v>
      </c>
      <c r="D73" s="4" t="s">
        <v>4</v>
      </c>
      <c r="E73" s="4" t="s">
        <v>5</v>
      </c>
      <c r="F73" s="4" t="s">
        <v>6</v>
      </c>
      <c r="G73" s="4" t="s">
        <v>22</v>
      </c>
      <c r="H73" s="4" t="s">
        <v>7</v>
      </c>
      <c r="J73" s="7" t="s">
        <v>8</v>
      </c>
      <c r="K73" s="9" t="s">
        <v>70</v>
      </c>
      <c r="L73" s="4" t="s">
        <v>9</v>
      </c>
      <c r="M73" s="4" t="s">
        <v>10</v>
      </c>
      <c r="N73" s="4" t="s">
        <v>11</v>
      </c>
      <c r="O73" s="10" t="s">
        <v>12</v>
      </c>
      <c r="P73" s="10" t="s">
        <v>24</v>
      </c>
      <c r="R73" s="4" t="s">
        <v>13</v>
      </c>
      <c r="S73" s="4" t="str">
        <f>K73</f>
        <v>Grup 8 Matí</v>
      </c>
    </row>
    <row r="74" spans="2:19" ht="22.5" customHeight="1">
      <c r="B74" s="8">
        <f>L1</f>
        <v>0.375</v>
      </c>
      <c r="C74" s="4">
        <f>M4</f>
        <v>9</v>
      </c>
      <c r="D74" s="4" t="str">
        <f>K76</f>
        <v>STORARI - NACCARATO</v>
      </c>
      <c r="E74" s="4" t="str">
        <f>K77</f>
        <v>MATARIN - AMOROS</v>
      </c>
      <c r="F74" s="4" t="str">
        <f>K74</f>
        <v>RONCHI - MAESTRI</v>
      </c>
      <c r="G74" s="58">
        <v>17</v>
      </c>
      <c r="H74" s="45">
        <v>21</v>
      </c>
      <c r="J74" s="7">
        <f>RANK(P74,P74:P78,0)</f>
        <v>3</v>
      </c>
      <c r="K74" s="10" t="str">
        <f>Entradas!A9</f>
        <v>RONCHI - MAESTRI</v>
      </c>
      <c r="L74" s="4">
        <f>(IF(G75&gt;H75,1,IF(G75&lt;H75,0,))+(IF(G77&gt;H77,1,IF(G77&lt;H77,0,))+(IF(G79&gt;H79,1,IF(G79&lt;H79,0,))+(IF(G82&gt;H82,1,IF(G82&lt;H82,0,))))))</f>
        <v>2</v>
      </c>
      <c r="M74" s="4">
        <f>G75+G77+G79+G82</f>
        <v>78</v>
      </c>
      <c r="N74" s="4">
        <f>H75+H77+H79+H82</f>
        <v>66</v>
      </c>
      <c r="O74" s="20">
        <f>IFERROR(M74/N74,"Max")</f>
        <v>1.1818181818181819</v>
      </c>
      <c r="P74" s="20">
        <f>IF(O74="Max",500,(L74*100)+O74)</f>
        <v>201.18181818181819</v>
      </c>
      <c r="R74" s="21">
        <v>1</v>
      </c>
      <c r="S74" s="7" t="str">
        <f>IF($L74+$L75+$L76+$L77+L78=10,INDEX(K74:K78,MATCH($R74,J74:J78,0)),"Pdte")</f>
        <v>SOROKA - PRIETO</v>
      </c>
    </row>
    <row r="75" spans="2:19" ht="22.5" customHeight="1">
      <c r="B75" s="8">
        <f t="shared" ref="B75:B83" si="6">B74+$O$1</f>
        <v>0.3923611111111111</v>
      </c>
      <c r="C75" s="4">
        <f>M4</f>
        <v>9</v>
      </c>
      <c r="D75" s="4" t="str">
        <f>K74</f>
        <v>RONCHI - MAESTRI</v>
      </c>
      <c r="E75" s="4" t="str">
        <f>K78</f>
        <v>SANCHEZ - ROJO</v>
      </c>
      <c r="F75" s="4" t="str">
        <f>K75</f>
        <v>SOROKA - PRIETO</v>
      </c>
      <c r="G75" s="45">
        <v>21</v>
      </c>
      <c r="H75" s="45">
        <v>10</v>
      </c>
      <c r="J75" s="7">
        <f>RANK(P75,P74:P78,0)</f>
        <v>1</v>
      </c>
      <c r="K75" s="10" t="str">
        <f>Entradas!A10</f>
        <v>SOROKA - PRIETO</v>
      </c>
      <c r="L75" s="4">
        <f>(IF(G76&gt;H76,1,IF(G76&lt;H76,0,))+(IF(G78&gt;H78,1,IF(G78&lt;H78,0,))+(IF(G80&gt;H80,1,IF(G80&lt;H80,0,))+IF(H82&gt;G82,1,IF(H82&lt;G82,0,)))))</f>
        <v>4</v>
      </c>
      <c r="M75" s="4">
        <f>G76+G78+G80+H82</f>
        <v>84</v>
      </c>
      <c r="N75" s="4">
        <f>H76+H78+H80+G82</f>
        <v>59</v>
      </c>
      <c r="O75" s="20">
        <f t="shared" ref="O75:O78" si="7">IFERROR(M75/N75,"Max")</f>
        <v>1.423728813559322</v>
      </c>
      <c r="P75" s="20">
        <f t="shared" ref="P75:P78" si="8">IF(O75="Max",500,(L75*100)+O75)</f>
        <v>401.42372881355931</v>
      </c>
      <c r="R75" s="21">
        <v>2</v>
      </c>
      <c r="S75" s="7" t="str">
        <f>IF($L75+$L76+$L77+$L78+L74=10,INDEX(K74:K78,MATCH($R75,J74:J78,0)),"Pdte")</f>
        <v>MATARIN - AMOROS</v>
      </c>
    </row>
    <row r="76" spans="2:19" ht="22.5" customHeight="1">
      <c r="B76" s="8">
        <f t="shared" si="6"/>
        <v>0.40972222222222221</v>
      </c>
      <c r="C76" s="4">
        <f>M4</f>
        <v>9</v>
      </c>
      <c r="D76" s="4" t="str">
        <f>K75</f>
        <v>SOROKA - PRIETO</v>
      </c>
      <c r="E76" s="4" t="str">
        <f>K77</f>
        <v>MATARIN - AMOROS</v>
      </c>
      <c r="F76" s="4" t="str">
        <f>K76</f>
        <v>STORARI - NACCARATO</v>
      </c>
      <c r="G76" s="45">
        <v>21</v>
      </c>
      <c r="H76" s="45">
        <v>16</v>
      </c>
      <c r="J76" s="7">
        <f>RANK(P76,P74:P78,0)</f>
        <v>5</v>
      </c>
      <c r="K76" s="10" t="str">
        <f>Entradas!A25</f>
        <v>STORARI - NACCARATO</v>
      </c>
      <c r="L76" s="4">
        <f>(IF(G74&gt;H74,1,IF(G74&lt;H74,0,))+(IF(H77&gt;G77,1,IF(H77&lt;G77,0,))+(IF(H80&gt;G80,1,IF(H80&lt;G80,0,))+(IF(G83&gt;H83,1,IF(G83&lt;H83,0,))))))</f>
        <v>0</v>
      </c>
      <c r="M76" s="4">
        <f>H77+H80+G74+G83</f>
        <v>55</v>
      </c>
      <c r="N76" s="4">
        <f>G77+G80+H74+H83</f>
        <v>84</v>
      </c>
      <c r="O76" s="20">
        <f t="shared" si="7"/>
        <v>0.65476190476190477</v>
      </c>
      <c r="P76" s="20">
        <f t="shared" si="8"/>
        <v>0.65476190476190477</v>
      </c>
      <c r="R76" s="21">
        <v>3</v>
      </c>
      <c r="S76" s="7" t="str">
        <f>IF($L76+$L77+$L78+$L75+L74=10,INDEX(K74:K78,MATCH($R76,J74:J78,0)),"Pdte")</f>
        <v>RONCHI - MAESTRI</v>
      </c>
    </row>
    <row r="77" spans="2:19" ht="22.5" customHeight="1">
      <c r="B77" s="8">
        <f t="shared" si="6"/>
        <v>0.42708333333333331</v>
      </c>
      <c r="C77" s="4">
        <f>M4</f>
        <v>9</v>
      </c>
      <c r="D77" s="4" t="str">
        <f>K74</f>
        <v>RONCHI - MAESTRI</v>
      </c>
      <c r="E77" s="4" t="str">
        <f>K76</f>
        <v>STORARI - NACCARATO</v>
      </c>
      <c r="F77" s="4" t="str">
        <f>K78</f>
        <v>SANCHEZ - ROJO</v>
      </c>
      <c r="G77" s="45">
        <v>21</v>
      </c>
      <c r="H77" s="45">
        <v>14</v>
      </c>
      <c r="J77" s="7">
        <f>RANK(P77,P74:P78,0)</f>
        <v>2</v>
      </c>
      <c r="K77" s="10" t="str">
        <f>Entradas!A26</f>
        <v>MATARIN - AMOROS</v>
      </c>
      <c r="L77" s="4">
        <f>(IF(H74&gt;G74,1,IF(H74&lt;G74,0,))+(IF(H76&gt;G76,1,IF(H76&lt;G76,0,))+(IF(H79&gt;G79,1,IF(H79&lt;G79,0,))+(IF(G81&gt;H81,1,IF(G81&lt;H81,0,))))))</f>
        <v>3</v>
      </c>
      <c r="M77" s="4">
        <f>H76+H79+H74+G81</f>
        <v>79</v>
      </c>
      <c r="N77" s="4">
        <f>G76+G79+G74+H81</f>
        <v>65</v>
      </c>
      <c r="O77" s="20">
        <f t="shared" si="7"/>
        <v>1.2153846153846153</v>
      </c>
      <c r="P77" s="20">
        <f t="shared" si="8"/>
        <v>301.21538461538461</v>
      </c>
      <c r="R77" s="21">
        <v>4</v>
      </c>
      <c r="S77" s="7" t="str">
        <f>IF($L77+$L78+$L76+$L75+L74=10,INDEX(K74:K78,MATCH($R77,J74:J78,0)),"Pdte")</f>
        <v>SANCHEZ - ROJO</v>
      </c>
    </row>
    <row r="78" spans="2:19" ht="22.5" customHeight="1">
      <c r="B78" s="8">
        <f t="shared" si="6"/>
        <v>0.44444444444444442</v>
      </c>
      <c r="C78" s="4">
        <f>M4</f>
        <v>9</v>
      </c>
      <c r="D78" s="4" t="str">
        <f>K75</f>
        <v>SOROKA - PRIETO</v>
      </c>
      <c r="E78" s="4" t="str">
        <f>K78</f>
        <v>SANCHEZ - ROJO</v>
      </c>
      <c r="F78" s="4" t="str">
        <f>K77</f>
        <v>MATARIN - AMOROS</v>
      </c>
      <c r="G78" s="45">
        <v>21</v>
      </c>
      <c r="H78" s="45">
        <v>12</v>
      </c>
      <c r="J78" s="7">
        <f>RANK(P78,P74:P78,0)</f>
        <v>4</v>
      </c>
      <c r="K78" s="10" t="str">
        <f>Entradas!A35</f>
        <v>SANCHEZ - ROJO</v>
      </c>
      <c r="L78" s="4">
        <f>(IF(H75&gt;G75,1,IF(H75&lt;G75,0,))+(IF(H78&gt;G78,1,IF(H78&lt;G78,0,))+(IF(H81&gt;G81,1,IF(H81&lt;G81,0,))+(IF(H83&gt;G83,1,IF(H83&lt;G83,0,))))))</f>
        <v>1</v>
      </c>
      <c r="M78" s="4">
        <f>H75+H78+H81+H83</f>
        <v>52</v>
      </c>
      <c r="N78" s="4">
        <f>G75+G78+G81+G83</f>
        <v>74</v>
      </c>
      <c r="O78" s="20">
        <f t="shared" si="7"/>
        <v>0.70270270270270274</v>
      </c>
      <c r="P78" s="20">
        <f t="shared" si="8"/>
        <v>100.70270270270271</v>
      </c>
      <c r="R78" s="21">
        <v>5</v>
      </c>
      <c r="S78" s="7" t="str">
        <f>IF($L78+$L77+$L76+$L75+L74=10,INDEX(K74:K78,MATCH($R78,J74:J78,0)),"Pdte")</f>
        <v>STORARI - NACCARATO</v>
      </c>
    </row>
    <row r="79" spans="2:19" ht="22.5" customHeight="1">
      <c r="B79" s="8">
        <f t="shared" si="6"/>
        <v>0.46180555555555552</v>
      </c>
      <c r="C79" s="4">
        <f>M4</f>
        <v>9</v>
      </c>
      <c r="D79" s="4" t="str">
        <f>K74</f>
        <v>RONCHI - MAESTRI</v>
      </c>
      <c r="E79" s="4" t="str">
        <f>K77</f>
        <v>MATARIN - AMOROS</v>
      </c>
      <c r="F79" s="4" t="str">
        <f>K75</f>
        <v>SOROKA - PRIETO</v>
      </c>
      <c r="G79" s="45">
        <v>18</v>
      </c>
      <c r="H79" s="45">
        <v>21</v>
      </c>
    </row>
    <row r="80" spans="2:19" ht="22.5" customHeight="1">
      <c r="B80" s="8">
        <f t="shared" si="6"/>
        <v>0.47916666666666663</v>
      </c>
      <c r="C80" s="4">
        <f>M4</f>
        <v>9</v>
      </c>
      <c r="D80" s="4" t="str">
        <f>K75</f>
        <v>SOROKA - PRIETO</v>
      </c>
      <c r="E80" s="4" t="str">
        <f>K76</f>
        <v>STORARI - NACCARATO</v>
      </c>
      <c r="F80" s="4" t="str">
        <f>K74</f>
        <v>RONCHI - MAESTRI</v>
      </c>
      <c r="G80" s="45">
        <v>21</v>
      </c>
      <c r="H80" s="45">
        <v>13</v>
      </c>
    </row>
    <row r="81" spans="1:20" ht="22.5" customHeight="1">
      <c r="B81" s="8">
        <f t="shared" si="6"/>
        <v>0.49652777777777773</v>
      </c>
      <c r="C81" s="4">
        <f>M4</f>
        <v>9</v>
      </c>
      <c r="D81" s="4" t="str">
        <f>K77</f>
        <v>MATARIN - AMOROS</v>
      </c>
      <c r="E81" s="4" t="str">
        <f>K78</f>
        <v>SANCHEZ - ROJO</v>
      </c>
      <c r="F81" s="4" t="str">
        <f>K76</f>
        <v>STORARI - NACCARATO</v>
      </c>
      <c r="G81" s="45">
        <v>21</v>
      </c>
      <c r="H81" s="45">
        <v>9</v>
      </c>
      <c r="K81" s="11"/>
    </row>
    <row r="82" spans="1:20" ht="22.5" customHeight="1">
      <c r="B82" s="8">
        <f t="shared" si="6"/>
        <v>0.51388888888888884</v>
      </c>
      <c r="C82" s="4">
        <f>M4</f>
        <v>9</v>
      </c>
      <c r="D82" s="4" t="str">
        <f>K74</f>
        <v>RONCHI - MAESTRI</v>
      </c>
      <c r="E82" s="4" t="str">
        <f>K75</f>
        <v>SOROKA - PRIETO</v>
      </c>
      <c r="F82" s="4" t="str">
        <f>K78</f>
        <v>SANCHEZ - ROJO</v>
      </c>
      <c r="G82" s="45">
        <v>18</v>
      </c>
      <c r="H82" s="45">
        <v>21</v>
      </c>
      <c r="K82" s="11"/>
    </row>
    <row r="83" spans="1:20" ht="22.5" customHeight="1">
      <c r="B83" s="8">
        <f t="shared" si="6"/>
        <v>0.53125</v>
      </c>
      <c r="C83" s="4">
        <f>M4</f>
        <v>9</v>
      </c>
      <c r="D83" s="4" t="str">
        <f>K76</f>
        <v>STORARI - NACCARATO</v>
      </c>
      <c r="E83" s="4" t="str">
        <f>K78</f>
        <v>SANCHEZ - ROJO</v>
      </c>
      <c r="F83" s="4" t="str">
        <f>K77</f>
        <v>MATARIN - AMOROS</v>
      </c>
      <c r="G83" s="45">
        <v>11</v>
      </c>
      <c r="H83" s="45">
        <v>21</v>
      </c>
      <c r="J83" s="47"/>
      <c r="K83" s="11"/>
      <c r="M83" s="47"/>
    </row>
    <row r="85" spans="1:20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6" spans="1:20" ht="16.5" customHeight="1">
      <c r="B86" s="17"/>
      <c r="C86" s="17"/>
      <c r="D86" s="17"/>
      <c r="E86" s="18"/>
      <c r="F86" s="18"/>
      <c r="G86" s="18"/>
      <c r="H86" s="18"/>
    </row>
    <row r="87" spans="1:20" ht="16.5" customHeight="1">
      <c r="B87" s="50" t="s">
        <v>63</v>
      </c>
      <c r="C87" s="17"/>
      <c r="D87" s="17"/>
      <c r="E87" s="18"/>
      <c r="F87" s="18"/>
      <c r="G87" s="18"/>
      <c r="H87" s="18"/>
    </row>
    <row r="88" spans="1:20" s="11" customFormat="1" ht="27" customHeight="1">
      <c r="B88" s="4" t="s">
        <v>2</v>
      </c>
      <c r="C88" s="43" t="s">
        <v>3</v>
      </c>
      <c r="D88" s="44" t="s">
        <v>4</v>
      </c>
      <c r="E88" s="44" t="s">
        <v>5</v>
      </c>
      <c r="F88" s="6" t="s">
        <v>6</v>
      </c>
      <c r="G88" s="44" t="s">
        <v>22</v>
      </c>
      <c r="H88" s="44" t="s">
        <v>7</v>
      </c>
      <c r="J88" s="7" t="s">
        <v>8</v>
      </c>
      <c r="K88" s="9" t="s">
        <v>23</v>
      </c>
      <c r="L88" s="4" t="s">
        <v>9</v>
      </c>
      <c r="M88" s="4" t="s">
        <v>10</v>
      </c>
      <c r="N88" s="4" t="s">
        <v>11</v>
      </c>
      <c r="O88" s="10" t="s">
        <v>12</v>
      </c>
      <c r="P88" s="10" t="s">
        <v>24</v>
      </c>
      <c r="Q88"/>
      <c r="R88" s="4" t="s">
        <v>13</v>
      </c>
      <c r="S88" s="4" t="s">
        <v>23</v>
      </c>
    </row>
    <row r="89" spans="1:20" ht="27" customHeight="1">
      <c r="A89" s="11" t="s">
        <v>147</v>
      </c>
      <c r="B89" s="8">
        <f>L2</f>
        <v>0.65625</v>
      </c>
      <c r="C89" s="43">
        <f>Chicas!L4</f>
        <v>1</v>
      </c>
      <c r="D89" s="10" t="str">
        <f>K89</f>
        <v>NIETO - BARREDA</v>
      </c>
      <c r="E89" s="10" t="str">
        <f>K91</f>
        <v>SALAS  - VILLAR</v>
      </c>
      <c r="F89" s="10" t="str">
        <f>K90</f>
        <v>SOROKA - PRIETO</v>
      </c>
      <c r="G89" s="45"/>
      <c r="H89" s="45"/>
      <c r="J89" s="7">
        <f>RANK(P89,P89:P92,0)</f>
        <v>1</v>
      </c>
      <c r="K89" s="10" t="str">
        <f>IF(S11="Pdte","1r Grup 1 Matí",S11)</f>
        <v>NIETO - BARREDA</v>
      </c>
      <c r="L89" s="4">
        <f>(IF(G89&gt;H89,1,IF(G89&lt;H89,0,))+(IF(G91&gt;H91,1,IF(G91&lt;H91,0,))+(IF(G93&gt;H93,1,IF(G93&lt;H93,0,)))))</f>
        <v>0</v>
      </c>
      <c r="M89" s="4">
        <f>G89+G91+G93</f>
        <v>0</v>
      </c>
      <c r="N89" s="4">
        <f>H89+H91+H93</f>
        <v>0</v>
      </c>
      <c r="O89" s="20" t="str">
        <f>IFERROR(M89/N89,"Max")</f>
        <v>Max</v>
      </c>
      <c r="P89" s="20">
        <f>IF(O89="Max",400,(L89*100)+O89)</f>
        <v>400</v>
      </c>
      <c r="R89" s="21">
        <v>1</v>
      </c>
      <c r="S89" s="7" t="str">
        <f>IF($L89+$L90+$L91+$L92=6,INDEX(K89:K92,MATCH($R89,J89:J92,0)),"Pdte")</f>
        <v>Pdte</v>
      </c>
    </row>
    <row r="90" spans="1:20" ht="27" customHeight="1">
      <c r="A90" s="11" t="s">
        <v>147</v>
      </c>
      <c r="B90" s="8">
        <f>B89+$O$1</f>
        <v>0.67361111111111116</v>
      </c>
      <c r="C90" s="43">
        <f>Chicas!L4</f>
        <v>1</v>
      </c>
      <c r="D90" s="10" t="str">
        <f>K90</f>
        <v>SOROKA - PRIETO</v>
      </c>
      <c r="E90" s="10" t="str">
        <f>K92</f>
        <v>ROVIRA - GIMENO</v>
      </c>
      <c r="F90" s="10" t="str">
        <f>K89</f>
        <v>NIETO - BARREDA</v>
      </c>
      <c r="G90" s="45"/>
      <c r="H90" s="45"/>
      <c r="J90" s="7">
        <f>RANK(P90,P89:P92,0)</f>
        <v>1</v>
      </c>
      <c r="K90" s="10" t="str">
        <f>IF(S74="Pdte","1r Grup 8 Matí",S74)</f>
        <v>SOROKA - PRIETO</v>
      </c>
      <c r="L90" s="4">
        <f>(IF(G90&gt;H90,1,IF(G90&lt;H90,0,))+(IF(G92&gt;H92,1,IF(G92&lt;H92,0,))+(IF(H93&gt;G93,1,IF(H93&lt;G93,0,)))))</f>
        <v>0</v>
      </c>
      <c r="M90" s="4">
        <f>G90+G92+H93</f>
        <v>0</v>
      </c>
      <c r="N90" s="4">
        <f>H90+H92+G93</f>
        <v>0</v>
      </c>
      <c r="O90" s="20" t="str">
        <f>IFERROR(M90/N90,"Max")</f>
        <v>Max</v>
      </c>
      <c r="P90" s="20">
        <f>IF(O90="Max",400,(L90*100)+O90)</f>
        <v>400</v>
      </c>
      <c r="R90" s="21">
        <v>2</v>
      </c>
      <c r="S90" s="7" t="str">
        <f>IF($L90+$L91+$L92+$L89=6,INDEX(K89:K92,MATCH($R90,J89:J92,0)),"Pdte")</f>
        <v>Pdte</v>
      </c>
    </row>
    <row r="91" spans="1:20" ht="27" customHeight="1">
      <c r="A91" s="11" t="s">
        <v>147</v>
      </c>
      <c r="B91" s="8">
        <f>B90+$O$1</f>
        <v>0.69097222222222232</v>
      </c>
      <c r="C91" s="43">
        <f>Chicas!L4</f>
        <v>1</v>
      </c>
      <c r="D91" s="10" t="str">
        <f>K89</f>
        <v>NIETO - BARREDA</v>
      </c>
      <c r="E91" s="10" t="str">
        <f>K92</f>
        <v>ROVIRA - GIMENO</v>
      </c>
      <c r="F91" s="10" t="str">
        <f>K91</f>
        <v>SALAS  - VILLAR</v>
      </c>
      <c r="G91" s="45"/>
      <c r="H91" s="45"/>
      <c r="J91" s="7">
        <f>RANK(P91,P89:P92,0)</f>
        <v>1</v>
      </c>
      <c r="K91" s="10" t="str">
        <f>IF(S20="Pdte","2n Grup 2 Matí",S21)</f>
        <v>SALAS  - VILLAR</v>
      </c>
      <c r="L91" s="4">
        <f>(IF(H89&gt;G89,1,IF(H89&lt;G89,0,))+(IF(H92&gt;G92,1,IF(H92&lt;G92,0,))+(IF(G94&gt;H94,1,IF(G94&lt;H94,0,)))))</f>
        <v>0</v>
      </c>
      <c r="M91" s="4">
        <f>H89+H92+G94</f>
        <v>0</v>
      </c>
      <c r="N91" s="4">
        <f>G89+G92+H94</f>
        <v>0</v>
      </c>
      <c r="O91" s="20" t="str">
        <f>IFERROR(M91/N91,"Max")</f>
        <v>Max</v>
      </c>
      <c r="P91" s="20">
        <f>IF(O91="Max",400,(L91*100)+O91)</f>
        <v>400</v>
      </c>
      <c r="R91" s="21">
        <v>3</v>
      </c>
      <c r="S91" s="7" t="str">
        <f>IF($L91+$L92+$L89+$L90=6,INDEX(K89:K92,MATCH($R91,J89:J92,0)),"Pdte")</f>
        <v>Pdte</v>
      </c>
    </row>
    <row r="92" spans="1:20" ht="27" customHeight="1">
      <c r="A92" s="11" t="s">
        <v>147</v>
      </c>
      <c r="B92" s="8">
        <f>B91+$O$1</f>
        <v>0.70833333333333348</v>
      </c>
      <c r="C92" s="43">
        <f>Chicas!L4</f>
        <v>1</v>
      </c>
      <c r="D92" s="10" t="str">
        <f>K90</f>
        <v>SOROKA - PRIETO</v>
      </c>
      <c r="E92" s="10" t="str">
        <f>K91</f>
        <v>SALAS  - VILLAR</v>
      </c>
      <c r="F92" s="10" t="str">
        <f>K89</f>
        <v>NIETO - BARREDA</v>
      </c>
      <c r="G92" s="45"/>
      <c r="H92" s="45"/>
      <c r="J92" s="7">
        <f>RANK(P92,P89:P92,0)</f>
        <v>1</v>
      </c>
      <c r="K92" s="10" t="str">
        <f>IF(S62="Pdte","2n Grup 7 Matí",S63)</f>
        <v>ROVIRA - GIMENO</v>
      </c>
      <c r="L92" s="4">
        <f>(IF(H90&gt;G90,1,IF(H90&lt;G90,0,))+(IF(H91&gt;G91,1,IF(H91&lt;G91,0,))+(IF(H94&gt;G94,1,IF(H94&lt;G94,0,)))))</f>
        <v>0</v>
      </c>
      <c r="M92" s="4">
        <f>H90+H91+H94</f>
        <v>0</v>
      </c>
      <c r="N92" s="4">
        <f>G90+G91+G94</f>
        <v>0</v>
      </c>
      <c r="O92" s="20" t="str">
        <f>IFERROR(M92/N92,"Max")</f>
        <v>Max</v>
      </c>
      <c r="P92" s="20">
        <f>IF(O92="Max",400,(L92*100)+O92)</f>
        <v>400</v>
      </c>
      <c r="R92" s="21">
        <v>4</v>
      </c>
      <c r="S92" s="7" t="str">
        <f>IF($L89+$L90+$L91+$L92=6,INDEX(K89:K92,MATCH($R92,J89:J92,0)),"Pdte")</f>
        <v>Pdte</v>
      </c>
    </row>
    <row r="93" spans="1:20" ht="27" customHeight="1">
      <c r="A93" s="11" t="s">
        <v>147</v>
      </c>
      <c r="B93" s="8">
        <f>B92+$O$1</f>
        <v>0.72569444444444464</v>
      </c>
      <c r="C93" s="43">
        <f>Chicas!L4</f>
        <v>1</v>
      </c>
      <c r="D93" s="10" t="str">
        <f>K89</f>
        <v>NIETO - BARREDA</v>
      </c>
      <c r="E93" s="10" t="str">
        <f>K90</f>
        <v>SOROKA - PRIETO</v>
      </c>
      <c r="F93" s="10" t="str">
        <f>K92</f>
        <v>ROVIRA - GIMENO</v>
      </c>
      <c r="G93" s="45"/>
      <c r="H93" s="45"/>
    </row>
    <row r="94" spans="1:20" ht="27" customHeight="1">
      <c r="A94" s="11" t="s">
        <v>147</v>
      </c>
      <c r="B94" s="8">
        <f>B93+$O$1</f>
        <v>0.7430555555555558</v>
      </c>
      <c r="C94" s="43">
        <f>Chicas!L4</f>
        <v>1</v>
      </c>
      <c r="D94" s="10" t="str">
        <f>K91</f>
        <v>SALAS  - VILLAR</v>
      </c>
      <c r="E94" s="10" t="str">
        <f>K92</f>
        <v>ROVIRA - GIMENO</v>
      </c>
      <c r="F94" s="10" t="str">
        <f>K90</f>
        <v>SOROKA - PRIETO</v>
      </c>
      <c r="G94" s="45"/>
      <c r="H94" s="45"/>
    </row>
    <row r="95" spans="1:20" ht="27" customHeight="1"/>
    <row r="96" spans="1:20" ht="27" customHeight="1"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 s="11" customFormat="1" ht="27" customHeight="1">
      <c r="B97" s="4" t="s">
        <v>2</v>
      </c>
      <c r="C97" s="4" t="s">
        <v>3</v>
      </c>
      <c r="D97" s="10" t="s">
        <v>4</v>
      </c>
      <c r="E97" s="10" t="s">
        <v>5</v>
      </c>
      <c r="F97" s="4" t="s">
        <v>14</v>
      </c>
      <c r="G97" s="10" t="s">
        <v>7</v>
      </c>
      <c r="H97" s="10" t="s">
        <v>7</v>
      </c>
      <c r="J97" s="7" t="s">
        <v>8</v>
      </c>
      <c r="K97" s="9" t="s">
        <v>25</v>
      </c>
      <c r="L97" s="4" t="s">
        <v>9</v>
      </c>
      <c r="M97" s="4" t="s">
        <v>10</v>
      </c>
      <c r="N97" s="4" t="s">
        <v>11</v>
      </c>
      <c r="O97" s="10" t="s">
        <v>12</v>
      </c>
      <c r="P97" s="10" t="s">
        <v>26</v>
      </c>
      <c r="Q97"/>
      <c r="R97" s="4" t="s">
        <v>13</v>
      </c>
      <c r="S97" s="4" t="s">
        <v>25</v>
      </c>
    </row>
    <row r="98" spans="1:19" s="11" customFormat="1" ht="27" customHeight="1">
      <c r="A98" s="11" t="s">
        <v>148</v>
      </c>
      <c r="B98" s="8">
        <f>L2</f>
        <v>0.65625</v>
      </c>
      <c r="C98" s="4">
        <f>L5</f>
        <v>6</v>
      </c>
      <c r="D98" s="10" t="str">
        <f>K98</f>
        <v>ALISEDA - VALIÑO</v>
      </c>
      <c r="E98" s="10" t="str">
        <f>K100</f>
        <v>TORRES - DIAZ</v>
      </c>
      <c r="F98" s="19" t="str">
        <f>K99</f>
        <v>MYKINA - NAVAS</v>
      </c>
      <c r="G98" s="45"/>
      <c r="H98" s="15"/>
      <c r="J98" s="7">
        <f>RANK(P98,P98:P101,0)</f>
        <v>1</v>
      </c>
      <c r="K98" s="10" t="str">
        <f>IF(S20="Pdte","1r Grup 2 Matí",S20)</f>
        <v>ALISEDA - VALIÑO</v>
      </c>
      <c r="L98" s="4">
        <f>(IF(G98&gt;H98,1,IF(G98&lt;H98,0,))+(IF(G100&gt;H100,1,IF(G100&lt;H100,0,))+(IF(G102&gt;H102,1,IF(G102&lt;H102,0,)))))</f>
        <v>0</v>
      </c>
      <c r="M98" s="4">
        <f>G98+G100+G102</f>
        <v>0</v>
      </c>
      <c r="N98" s="4">
        <f>H98+H100+H102</f>
        <v>0</v>
      </c>
      <c r="O98" s="20" t="str">
        <f>IFERROR(M98/N98,"Max")</f>
        <v>Max</v>
      </c>
      <c r="P98" s="20">
        <f>IF(O98="Max",400,(L98*100)+O98)</f>
        <v>400</v>
      </c>
      <c r="Q98"/>
      <c r="R98" s="21">
        <v>1</v>
      </c>
      <c r="S98" s="7" t="str">
        <f>IF($L98+$L99+$L100+$L101=6,INDEX(K98:K101,MATCH($R98,J98:J101,0)),"Pdte")</f>
        <v>Pdte</v>
      </c>
    </row>
    <row r="99" spans="1:19" s="11" customFormat="1" ht="27" customHeight="1">
      <c r="A99" s="11" t="s">
        <v>148</v>
      </c>
      <c r="B99" s="8">
        <f>B98+$O$1</f>
        <v>0.67361111111111116</v>
      </c>
      <c r="C99" s="4">
        <f>L5</f>
        <v>6</v>
      </c>
      <c r="D99" s="10" t="str">
        <f>K99</f>
        <v>MYKINA - NAVAS</v>
      </c>
      <c r="E99" s="10" t="str">
        <f>K101</f>
        <v>MATARIN - AMOROS</v>
      </c>
      <c r="F99" s="19" t="str">
        <f>K98</f>
        <v>ALISEDA - VALIÑO</v>
      </c>
      <c r="G99" s="45"/>
      <c r="H99" s="15"/>
      <c r="J99" s="7">
        <f>RANK(P99,P98:P101,0)</f>
        <v>1</v>
      </c>
      <c r="K99" s="10" t="str">
        <f>IF(S62="Pdte","1r Grup 7 Matí",S62)</f>
        <v>MYKINA - NAVAS</v>
      </c>
      <c r="L99" s="4">
        <f>(IF(G99&gt;H99,1,IF(G99&lt;H99,0,))+(IF(G101&gt;H101,1,IF(G101&lt;H101,0,))+(IF(H102&gt;G102,1,IF(H102&lt;G102,0,)))))</f>
        <v>0</v>
      </c>
      <c r="M99" s="4">
        <f>G99+G101+H102</f>
        <v>0</v>
      </c>
      <c r="N99" s="4">
        <f>H99+H101+G102</f>
        <v>0</v>
      </c>
      <c r="O99" s="20" t="str">
        <f>IFERROR(M99/N99,"Max")</f>
        <v>Max</v>
      </c>
      <c r="P99" s="20">
        <f>IF(O99="Max",400,(L99*100)+O99)</f>
        <v>400</v>
      </c>
      <c r="Q99"/>
      <c r="R99" s="21">
        <v>2</v>
      </c>
      <c r="S99" s="7" t="str">
        <f>IF($L99+$L100+$L101+$L98=6,INDEX(K98:K101,MATCH($R99,J98:J101,0)),"Pdte")</f>
        <v>Pdte</v>
      </c>
    </row>
    <row r="100" spans="1:19" s="11" customFormat="1" ht="27" customHeight="1">
      <c r="A100" s="11" t="s">
        <v>148</v>
      </c>
      <c r="B100" s="8">
        <f>B99+$O$1</f>
        <v>0.69097222222222232</v>
      </c>
      <c r="C100" s="4">
        <f>L5</f>
        <v>6</v>
      </c>
      <c r="D100" s="10" t="str">
        <f>K98</f>
        <v>ALISEDA - VALIÑO</v>
      </c>
      <c r="E100" s="10" t="str">
        <f>K101</f>
        <v>MATARIN - AMOROS</v>
      </c>
      <c r="F100" s="19" t="str">
        <f>K100</f>
        <v>TORRES - DIAZ</v>
      </c>
      <c r="G100" s="45"/>
      <c r="H100" s="15"/>
      <c r="J100" s="7">
        <f>RANK(P100,P98:P101,0)</f>
        <v>1</v>
      </c>
      <c r="K100" s="10" t="str">
        <f>IF(S11="Pdte","2n Grup 1 Matí",S12)</f>
        <v>TORRES - DIAZ</v>
      </c>
      <c r="L100" s="4">
        <f>(IF(H98&gt;G98,1,IF(H98&lt;G98,0,))+(IF(H101&gt;G101,1,IF(H101&lt;G101,0,))+(IF(G103&gt;H103,1,IF(G103&lt;H103,0,)))))</f>
        <v>0</v>
      </c>
      <c r="M100" s="4">
        <f>H98+H101+G103</f>
        <v>0</v>
      </c>
      <c r="N100" s="4">
        <f>G98+G101+H103</f>
        <v>0</v>
      </c>
      <c r="O100" s="20" t="str">
        <f>IFERROR(M100/N100,"Max")</f>
        <v>Max</v>
      </c>
      <c r="P100" s="20">
        <f>IF(O100="Max",400,(L100*100)+O100)</f>
        <v>400</v>
      </c>
      <c r="Q100"/>
      <c r="R100" s="21">
        <v>3</v>
      </c>
      <c r="S100" s="7" t="str">
        <f>IF($L100+$L101+$L98+$L99=6,INDEX(K98:K101,MATCH($R100,J98:J101,0)),"Pdte")</f>
        <v>Pdte</v>
      </c>
    </row>
    <row r="101" spans="1:19" s="11" customFormat="1" ht="27" customHeight="1">
      <c r="A101" s="11" t="s">
        <v>148</v>
      </c>
      <c r="B101" s="8">
        <f>B100+$O$1</f>
        <v>0.70833333333333348</v>
      </c>
      <c r="C101" s="4">
        <f>L5</f>
        <v>6</v>
      </c>
      <c r="D101" s="10" t="str">
        <f>K99</f>
        <v>MYKINA - NAVAS</v>
      </c>
      <c r="E101" s="10" t="str">
        <f>K100</f>
        <v>TORRES - DIAZ</v>
      </c>
      <c r="F101" s="19" t="str">
        <f>K101</f>
        <v>MATARIN - AMOROS</v>
      </c>
      <c r="G101" s="45"/>
      <c r="H101" s="15"/>
      <c r="J101" s="7">
        <f>RANK(P101,P98:P101,0)</f>
        <v>1</v>
      </c>
      <c r="K101" s="10" t="str">
        <f>IF(S74="Pdte","2n Grup 8 Matí",S75)</f>
        <v>MATARIN - AMOROS</v>
      </c>
      <c r="L101" s="4">
        <f>(IF(H99&gt;G99,1,IF(H99&lt;G99,0,))+(IF(H100&gt;G100,1,IF(H100&lt;G100,0,))+(IF(H103&gt;G103,1,IF(H103&lt;G103,0,)))))</f>
        <v>0</v>
      </c>
      <c r="M101" s="4">
        <f>H99+H100+H103</f>
        <v>0</v>
      </c>
      <c r="N101" s="4">
        <f>G99+G100+G103</f>
        <v>0</v>
      </c>
      <c r="O101" s="20" t="str">
        <f>IFERROR(M101/N101,"Max")</f>
        <v>Max</v>
      </c>
      <c r="P101" s="20">
        <f>IF(O101="Max",400,(L101*100)+O101)</f>
        <v>400</v>
      </c>
      <c r="Q101"/>
      <c r="R101" s="21">
        <v>4</v>
      </c>
      <c r="S101" s="7" t="str">
        <f>IF($L98+$L99+$L100+$L101=6,INDEX(K98:K101,MATCH($R101,J98:J101,0)),"Pdte")</f>
        <v>Pdte</v>
      </c>
    </row>
    <row r="102" spans="1:19" s="11" customFormat="1" ht="27" customHeight="1">
      <c r="A102" s="11" t="s">
        <v>148</v>
      </c>
      <c r="B102" s="8">
        <f>B101+$O$1</f>
        <v>0.72569444444444464</v>
      </c>
      <c r="C102" s="4">
        <f>L5</f>
        <v>6</v>
      </c>
      <c r="D102" s="10" t="str">
        <f>K98</f>
        <v>ALISEDA - VALIÑO</v>
      </c>
      <c r="E102" s="10" t="str">
        <f>K99</f>
        <v>MYKINA - NAVAS</v>
      </c>
      <c r="F102" s="19" t="str">
        <f>K100</f>
        <v>TORRES - DIAZ</v>
      </c>
      <c r="G102" s="45"/>
      <c r="H102" s="15"/>
    </row>
    <row r="103" spans="1:19" s="11" customFormat="1" ht="27" customHeight="1">
      <c r="A103" s="11" t="s">
        <v>148</v>
      </c>
      <c r="B103" s="8">
        <f>B102+$O$1</f>
        <v>0.7430555555555558</v>
      </c>
      <c r="C103" s="4">
        <f>L5</f>
        <v>6</v>
      </c>
      <c r="D103" s="10" t="str">
        <f>K100</f>
        <v>TORRES - DIAZ</v>
      </c>
      <c r="E103" s="10" t="str">
        <f>K101</f>
        <v>MATARIN - AMOROS</v>
      </c>
      <c r="F103" s="19" t="str">
        <f>K98</f>
        <v>ALISEDA - VALIÑO</v>
      </c>
      <c r="G103" s="45"/>
      <c r="H103" s="15"/>
    </row>
    <row r="104" spans="1:19" s="11" customFormat="1" ht="27" customHeight="1">
      <c r="B104" s="12"/>
      <c r="C104" s="12"/>
    </row>
    <row r="105" spans="1:19" s="11" customFormat="1" ht="27" customHeight="1">
      <c r="B105" s="4" t="s">
        <v>2</v>
      </c>
      <c r="C105" s="4" t="s">
        <v>3</v>
      </c>
      <c r="D105" s="44" t="s">
        <v>4</v>
      </c>
      <c r="E105" s="44" t="s">
        <v>5</v>
      </c>
      <c r="F105" s="6" t="s">
        <v>6</v>
      </c>
      <c r="G105" s="44" t="s">
        <v>22</v>
      </c>
      <c r="H105" s="44" t="s">
        <v>7</v>
      </c>
      <c r="J105" s="7" t="s">
        <v>8</v>
      </c>
      <c r="K105" s="9" t="s">
        <v>27</v>
      </c>
      <c r="L105" s="4" t="s">
        <v>9</v>
      </c>
      <c r="M105" s="4" t="s">
        <v>10</v>
      </c>
      <c r="N105" s="4" t="s">
        <v>11</v>
      </c>
      <c r="O105" s="10" t="s">
        <v>12</v>
      </c>
      <c r="P105" s="10" t="s">
        <v>24</v>
      </c>
      <c r="Q105"/>
      <c r="R105" s="4" t="s">
        <v>13</v>
      </c>
      <c r="S105" s="4" t="s">
        <v>27</v>
      </c>
    </row>
    <row r="106" spans="1:19" ht="27" customHeight="1">
      <c r="A106" s="11" t="s">
        <v>149</v>
      </c>
      <c r="B106" s="8">
        <f>L2</f>
        <v>0.65625</v>
      </c>
      <c r="C106" s="4">
        <f>L6</f>
        <v>7</v>
      </c>
      <c r="D106" s="10" t="str">
        <f>K106</f>
        <v>ESTALELLA - MUÑOZ</v>
      </c>
      <c r="E106" s="10" t="str">
        <f>K108</f>
        <v>VIVES - MONTINARO</v>
      </c>
      <c r="F106" s="4" t="str">
        <f>K107</f>
        <v>MURO - GALA</v>
      </c>
      <c r="G106" s="45"/>
      <c r="H106" s="45"/>
      <c r="J106" s="7">
        <f>RANK(P106,P106:P109,0)</f>
        <v>1</v>
      </c>
      <c r="K106" s="10" t="str">
        <f>IF(S28="Pdte","1r Grup 3 Matí",S28)</f>
        <v>ESTALELLA - MUÑOZ</v>
      </c>
      <c r="L106" s="4">
        <f>(IF(G106&gt;H106,1,IF(G106&lt;H106,0,))+(IF(G108&gt;H108,1,IF(G108&lt;H108,0,))+(IF(G110&gt;H110,1,IF(G110&lt;H110,0,)))))</f>
        <v>0</v>
      </c>
      <c r="M106" s="4">
        <f>G106+G108+G110</f>
        <v>0</v>
      </c>
      <c r="N106" s="4">
        <f>H106+H108+H110</f>
        <v>0</v>
      </c>
      <c r="O106" s="20" t="str">
        <f>IFERROR(M106/N106,"Max")</f>
        <v>Max</v>
      </c>
      <c r="P106" s="20">
        <f>IF(O106="Max",400,(L106*100)+O106)</f>
        <v>400</v>
      </c>
      <c r="R106" s="21">
        <v>1</v>
      </c>
      <c r="S106" s="7" t="str">
        <f>IF($L106+$L107+$L108+$L109=6,INDEX(K106:K109,MATCH($R106,J106:J109,0)),"Pdte")</f>
        <v>Pdte</v>
      </c>
    </row>
    <row r="107" spans="1:19" ht="27" customHeight="1">
      <c r="A107" s="11" t="s">
        <v>149</v>
      </c>
      <c r="B107" s="8">
        <f>B106+$O$1</f>
        <v>0.67361111111111116</v>
      </c>
      <c r="C107" s="4">
        <f>L6</f>
        <v>7</v>
      </c>
      <c r="D107" s="10" t="str">
        <f>K107</f>
        <v>MURO - GALA</v>
      </c>
      <c r="E107" s="10" t="str">
        <f>K109</f>
        <v>ARRIOLA - RONCHI</v>
      </c>
      <c r="F107" s="4" t="str">
        <f>K106</f>
        <v>ESTALELLA - MUÑOZ</v>
      </c>
      <c r="G107" s="45"/>
      <c r="H107" s="45"/>
      <c r="J107" s="7">
        <f>RANK(P107,P106:P109,0)</f>
        <v>1</v>
      </c>
      <c r="K107" s="10" t="str">
        <f>IF(S54="Pdte","1r Grup 6 Matí",S54)</f>
        <v>MURO - GALA</v>
      </c>
      <c r="L107" s="4">
        <f>(IF(G107&gt;H107,1,IF(G107&lt;H107,0,))+(IF(G109&gt;H109,1,IF(G109&lt;H109,0,))+(IF(H110&gt;G110,1,IF(H110&lt;G110,0,)))))</f>
        <v>0</v>
      </c>
      <c r="M107" s="4">
        <f>G107+G109+H110</f>
        <v>0</v>
      </c>
      <c r="N107" s="4">
        <f>H107+H109+G110</f>
        <v>0</v>
      </c>
      <c r="O107" s="20" t="str">
        <f>IFERROR(M107/N107,"Max")</f>
        <v>Max</v>
      </c>
      <c r="P107" s="20">
        <f>IF(O107="Max",400,(L107*100)+O107)</f>
        <v>400</v>
      </c>
      <c r="R107" s="21">
        <v>2</v>
      </c>
      <c r="S107" s="7" t="str">
        <f>IF($L107+$L108+$L109+$L106=6,INDEX(K106:K109,MATCH($R107,J106:J109,0)),"Pdte")</f>
        <v>Pdte</v>
      </c>
    </row>
    <row r="108" spans="1:19" ht="27" customHeight="1">
      <c r="A108" s="11" t="s">
        <v>149</v>
      </c>
      <c r="B108" s="8">
        <f>B107+$O$1</f>
        <v>0.69097222222222232</v>
      </c>
      <c r="C108" s="4">
        <f>L6</f>
        <v>7</v>
      </c>
      <c r="D108" s="10" t="str">
        <f>K106</f>
        <v>ESTALELLA - MUÑOZ</v>
      </c>
      <c r="E108" s="10" t="str">
        <f>K109</f>
        <v>ARRIOLA - RONCHI</v>
      </c>
      <c r="F108" s="4" t="str">
        <f>K108</f>
        <v>VIVES - MONTINARO</v>
      </c>
      <c r="G108" s="45"/>
      <c r="H108" s="45"/>
      <c r="J108" s="7">
        <f>RANK(P108,P106:P109,0)</f>
        <v>1</v>
      </c>
      <c r="K108" s="10" t="str">
        <f>IF(S36="Pdte","2n Grup 4 Matí",S37)</f>
        <v>VIVES - MONTINARO</v>
      </c>
      <c r="L108" s="4">
        <f>(IF(H106&gt;G106,1,IF(H106&lt;G106,0,))+(IF(H109&gt;G109,1,IF(H109&lt;G109,0,))+(IF(G111&gt;H111,1,IF(G111&lt;H111,0,)))))</f>
        <v>0</v>
      </c>
      <c r="M108" s="4">
        <f>H106+H109+G111</f>
        <v>0</v>
      </c>
      <c r="N108" s="4">
        <f>G106+G109+H111</f>
        <v>0</v>
      </c>
      <c r="O108" s="20" t="str">
        <f>IFERROR(M108/N108,"Max")</f>
        <v>Max</v>
      </c>
      <c r="P108" s="20">
        <f>IF(O108="Max",400,(L108*100)+O108)</f>
        <v>400</v>
      </c>
      <c r="R108" s="21">
        <v>3</v>
      </c>
      <c r="S108" s="7" t="str">
        <f>IF($L108+$L109+$L106+$L107=6,INDEX(K106:K109,MATCH($R108,J106:J109,0)),"Pdte")</f>
        <v>Pdte</v>
      </c>
    </row>
    <row r="109" spans="1:19" ht="27" customHeight="1">
      <c r="A109" s="11" t="s">
        <v>149</v>
      </c>
      <c r="B109" s="8">
        <f>B108+$O$1</f>
        <v>0.70833333333333348</v>
      </c>
      <c r="C109" s="4">
        <f>L6</f>
        <v>7</v>
      </c>
      <c r="D109" s="10" t="str">
        <f>K107</f>
        <v>MURO - GALA</v>
      </c>
      <c r="E109" s="10" t="str">
        <f>K108</f>
        <v>VIVES - MONTINARO</v>
      </c>
      <c r="F109" s="4" t="str">
        <f>K106</f>
        <v>ESTALELLA - MUÑOZ</v>
      </c>
      <c r="G109" s="45"/>
      <c r="H109" s="45"/>
      <c r="J109" s="7">
        <f>RANK(P109,P106:P109,0)</f>
        <v>1</v>
      </c>
      <c r="K109" s="10" t="str">
        <f>IF(S45="Pdte","2n Grup 5 Matí",S46)</f>
        <v>ARRIOLA - RONCHI</v>
      </c>
      <c r="L109" s="4">
        <f>(IF(H107&gt;G107,1,IF(H107&lt;G107,0,))+(IF(H108&gt;G108,1,IF(H108&lt;G108,0,))+(IF(H111&gt;G111,1,IF(H111&lt;G111,0,)))))</f>
        <v>0</v>
      </c>
      <c r="M109" s="4">
        <f>H107+H108+H111</f>
        <v>0</v>
      </c>
      <c r="N109" s="4">
        <f>G107+G108+G111</f>
        <v>0</v>
      </c>
      <c r="O109" s="20" t="str">
        <f>IFERROR(M109/N109,"Max")</f>
        <v>Max</v>
      </c>
      <c r="P109" s="20">
        <f>IF(O109="Max",400,(L109*100)+O109)</f>
        <v>400</v>
      </c>
      <c r="R109" s="21">
        <v>4</v>
      </c>
      <c r="S109" s="7" t="str">
        <f>IF($L106+$L107+$L108+$L109=6,INDEX(K106:K109,MATCH($R109,J106:J109,0)),"Pdte")</f>
        <v>Pdte</v>
      </c>
    </row>
    <row r="110" spans="1:19" ht="27" customHeight="1">
      <c r="A110" s="11" t="s">
        <v>149</v>
      </c>
      <c r="B110" s="8">
        <f>B109+$O$1</f>
        <v>0.72569444444444464</v>
      </c>
      <c r="C110" s="4">
        <f>L6</f>
        <v>7</v>
      </c>
      <c r="D110" s="10" t="str">
        <f>K106</f>
        <v>ESTALELLA - MUÑOZ</v>
      </c>
      <c r="E110" s="10" t="str">
        <f>K107</f>
        <v>MURO - GALA</v>
      </c>
      <c r="F110" s="4" t="str">
        <f>K109</f>
        <v>ARRIOLA - RONCHI</v>
      </c>
      <c r="G110" s="45"/>
      <c r="H110" s="45"/>
    </row>
    <row r="111" spans="1:19" ht="27" customHeight="1">
      <c r="A111" s="11" t="s">
        <v>149</v>
      </c>
      <c r="B111" s="8">
        <f>B110+$O$1</f>
        <v>0.7430555555555558</v>
      </c>
      <c r="C111" s="4">
        <f>L6</f>
        <v>7</v>
      </c>
      <c r="D111" s="10" t="str">
        <f>K108</f>
        <v>VIVES - MONTINARO</v>
      </c>
      <c r="E111" s="10" t="str">
        <f>K109</f>
        <v>ARRIOLA - RONCHI</v>
      </c>
      <c r="F111" s="4" t="str">
        <f>K107</f>
        <v>MURO - GALA</v>
      </c>
      <c r="G111" s="45"/>
      <c r="H111" s="45"/>
    </row>
    <row r="112" spans="1:19" ht="27" customHeight="1"/>
    <row r="113" spans="1:19" ht="27" customHeight="1"/>
    <row r="114" spans="1:19" s="11" customFormat="1" ht="27" customHeight="1">
      <c r="B114" s="4" t="s">
        <v>2</v>
      </c>
      <c r="C114" s="4" t="s">
        <v>3</v>
      </c>
      <c r="D114" s="10" t="s">
        <v>4</v>
      </c>
      <c r="E114" s="10" t="s">
        <v>5</v>
      </c>
      <c r="F114" s="4" t="s">
        <v>14</v>
      </c>
      <c r="G114" s="10" t="s">
        <v>7</v>
      </c>
      <c r="H114" s="10" t="s">
        <v>7</v>
      </c>
      <c r="J114" s="7" t="s">
        <v>8</v>
      </c>
      <c r="K114" s="9" t="s">
        <v>28</v>
      </c>
      <c r="L114" s="4" t="s">
        <v>9</v>
      </c>
      <c r="M114" s="4" t="s">
        <v>10</v>
      </c>
      <c r="N114" s="4" t="s">
        <v>11</v>
      </c>
      <c r="O114" s="10" t="s">
        <v>12</v>
      </c>
      <c r="P114" s="10" t="s">
        <v>26</v>
      </c>
      <c r="Q114"/>
      <c r="R114" s="4" t="s">
        <v>13</v>
      </c>
      <c r="S114" s="4" t="s">
        <v>28</v>
      </c>
    </row>
    <row r="115" spans="1:19" s="11" customFormat="1" ht="27" customHeight="1">
      <c r="A115" s="11" t="s">
        <v>150</v>
      </c>
      <c r="B115" s="8">
        <f>L2</f>
        <v>0.65625</v>
      </c>
      <c r="C115" s="4">
        <f>L7</f>
        <v>8</v>
      </c>
      <c r="D115" s="10" t="str">
        <f>K115</f>
        <v>GONZALEZ - REDONDO</v>
      </c>
      <c r="E115" s="10" t="str">
        <f>K117</f>
        <v>SAGRERA - UREÑA</v>
      </c>
      <c r="F115" s="19" t="str">
        <f>K116</f>
        <v>SANCER - SANCER</v>
      </c>
      <c r="G115" s="45"/>
      <c r="H115" s="15"/>
      <c r="J115" s="7">
        <f>RANK(P115,P115:P118,0)</f>
        <v>1</v>
      </c>
      <c r="K115" s="10" t="str">
        <f>IF(S36="Pdte","1r Grup 4 Matí",S36)</f>
        <v>GONZALEZ - REDONDO</v>
      </c>
      <c r="L115" s="4">
        <f>(IF(G115&gt;H115,1,IF(G115&lt;H115,0,))+(IF(G117&gt;H117,1,IF(G117&lt;H117,0,))+(IF(G119&gt;H119,1,IF(G119&lt;H119,0,)))))</f>
        <v>0</v>
      </c>
      <c r="M115" s="4">
        <f>G115+G117+G119</f>
        <v>0</v>
      </c>
      <c r="N115" s="4">
        <f>H115+H117+H119</f>
        <v>0</v>
      </c>
      <c r="O115" s="20" t="str">
        <f>IFERROR(M115/N115,"Max")</f>
        <v>Max</v>
      </c>
      <c r="P115" s="20">
        <f>IF(O115="Max",400,(L115*100)+O115)</f>
        <v>400</v>
      </c>
      <c r="Q115"/>
      <c r="R115" s="21">
        <v>1</v>
      </c>
      <c r="S115" s="7" t="str">
        <f>IF($L115+$L116+$L117+$L118=6,INDEX(K115:K118,MATCH($R115,J115:J118,0)),"Pdte")</f>
        <v>Pdte</v>
      </c>
    </row>
    <row r="116" spans="1:19" s="11" customFormat="1" ht="27" customHeight="1">
      <c r="A116" s="11" t="s">
        <v>150</v>
      </c>
      <c r="B116" s="8">
        <f>B115+$O$1</f>
        <v>0.67361111111111116</v>
      </c>
      <c r="C116" s="4">
        <f>L7</f>
        <v>8</v>
      </c>
      <c r="D116" s="10" t="str">
        <f>K116</f>
        <v>SANCER - SANCER</v>
      </c>
      <c r="E116" s="10" t="str">
        <f>K118</f>
        <v>TOMAS - ROMAN</v>
      </c>
      <c r="F116" s="19" t="str">
        <f>K115</f>
        <v>GONZALEZ - REDONDO</v>
      </c>
      <c r="G116" s="45"/>
      <c r="H116" s="15"/>
      <c r="J116" s="7">
        <f>RANK(P116,P115:P118,0)</f>
        <v>1</v>
      </c>
      <c r="K116" s="10" t="str">
        <f>IF(S45="Pdte","1r Grup 5 Matí",S45)</f>
        <v>SANCER - SANCER</v>
      </c>
      <c r="L116" s="4">
        <f>(IF(G116&gt;H116,1,IF(G116&lt;H116,0,))+(IF(G118&gt;H118,1,IF(G118&lt;H118,0,))+(IF(H119&gt;G119,1,IF(H119&lt;G119,0,)))))</f>
        <v>0</v>
      </c>
      <c r="M116" s="4">
        <f>G116+G118+H119</f>
        <v>0</v>
      </c>
      <c r="N116" s="4">
        <f>H116+H118+G119</f>
        <v>0</v>
      </c>
      <c r="O116" s="20" t="str">
        <f>IFERROR(M116/N116,"Max")</f>
        <v>Max</v>
      </c>
      <c r="P116" s="20">
        <f>IF(O116="Max",400,(L116*100)+O116)</f>
        <v>400</v>
      </c>
      <c r="Q116"/>
      <c r="R116" s="21">
        <v>2</v>
      </c>
      <c r="S116" s="7" t="str">
        <f>IF($L116+$L117+$L118+$L115=6,INDEX(K115:K118,MATCH($R116,J115:J118,0)),"Pdte")</f>
        <v>Pdte</v>
      </c>
    </row>
    <row r="117" spans="1:19" s="11" customFormat="1" ht="27" customHeight="1">
      <c r="A117" s="11" t="s">
        <v>150</v>
      </c>
      <c r="B117" s="8">
        <f>B116+$O$1</f>
        <v>0.69097222222222232</v>
      </c>
      <c r="C117" s="4">
        <f>L7</f>
        <v>8</v>
      </c>
      <c r="D117" s="10" t="str">
        <f>K115</f>
        <v>GONZALEZ - REDONDO</v>
      </c>
      <c r="E117" s="10" t="str">
        <f>K118</f>
        <v>TOMAS - ROMAN</v>
      </c>
      <c r="F117" s="19" t="str">
        <f>K117</f>
        <v>SAGRERA - UREÑA</v>
      </c>
      <c r="G117" s="45"/>
      <c r="H117" s="15"/>
      <c r="J117" s="7">
        <f>RANK(P117,P115:P118,0)</f>
        <v>1</v>
      </c>
      <c r="K117" s="10" t="str">
        <f>IF(S28="Pdte","2n Grup 3 Matí",S29)</f>
        <v>SAGRERA - UREÑA</v>
      </c>
      <c r="L117" s="4">
        <f>(IF(H115&gt;G115,1,IF(H115&lt;G115,0,))+(IF(H118&gt;G118,1,IF(H118&lt;G118,0,))+(IF(G120&gt;H120,1,IF(G120&lt;H120,0,)))))</f>
        <v>0</v>
      </c>
      <c r="M117" s="4">
        <f>H115+H118+G120</f>
        <v>0</v>
      </c>
      <c r="N117" s="4">
        <f>G115+G118+H120</f>
        <v>0</v>
      </c>
      <c r="O117" s="20" t="str">
        <f>IFERROR(M117/N117,"Max")</f>
        <v>Max</v>
      </c>
      <c r="P117" s="20">
        <f>IF(O117="Max",400,(L117*100)+O117)</f>
        <v>400</v>
      </c>
      <c r="Q117"/>
      <c r="R117" s="21">
        <v>3</v>
      </c>
      <c r="S117" s="7" t="str">
        <f>IF($L117+$L118+$L115+$L116=6,INDEX(K115:K118,MATCH($R117,J115:J118,0)),"Pdte")</f>
        <v>Pdte</v>
      </c>
    </row>
    <row r="118" spans="1:19" s="11" customFormat="1" ht="27" customHeight="1">
      <c r="A118" s="11" t="s">
        <v>150</v>
      </c>
      <c r="B118" s="8">
        <f>B117+$O$1</f>
        <v>0.70833333333333348</v>
      </c>
      <c r="C118" s="4">
        <f>L7</f>
        <v>8</v>
      </c>
      <c r="D118" s="10" t="str">
        <f>K116</f>
        <v>SANCER - SANCER</v>
      </c>
      <c r="E118" s="10" t="str">
        <f>K117</f>
        <v>SAGRERA - UREÑA</v>
      </c>
      <c r="F118" s="19" t="str">
        <f>K118</f>
        <v>TOMAS - ROMAN</v>
      </c>
      <c r="G118" s="45"/>
      <c r="H118" s="15"/>
      <c r="J118" s="7">
        <f>RANK(P118,P115:P118,0)</f>
        <v>1</v>
      </c>
      <c r="K118" s="10" t="str">
        <f>IF(S54="Pdte","2n Grup 6 Matí",S55)</f>
        <v>TOMAS - ROMAN</v>
      </c>
      <c r="L118" s="4">
        <f>(IF(H116&gt;G116,1,IF(H116&lt;G116,0,))+(IF(H117&gt;G117,1,IF(H117&lt;G117,0,))+(IF(H120&gt;G120,1,IF(H120&lt;G120,0,)))))</f>
        <v>0</v>
      </c>
      <c r="M118" s="4">
        <f>H116+H117+H120</f>
        <v>0</v>
      </c>
      <c r="N118" s="4">
        <f>G116+G117+G120</f>
        <v>0</v>
      </c>
      <c r="O118" s="20" t="str">
        <f>IFERROR(M118/N118,"Max")</f>
        <v>Max</v>
      </c>
      <c r="P118" s="20">
        <f>IF(O118="Max",400,(L118*100)+O118)</f>
        <v>400</v>
      </c>
      <c r="Q118"/>
      <c r="R118" s="21">
        <v>4</v>
      </c>
      <c r="S118" s="7" t="str">
        <f>IF($L115+$L116+$L117+$L118=6,INDEX(K115:K118,MATCH($R118,J115:J118,0)),"Pdte")</f>
        <v>Pdte</v>
      </c>
    </row>
    <row r="119" spans="1:19" s="11" customFormat="1" ht="27" customHeight="1">
      <c r="A119" s="11" t="s">
        <v>150</v>
      </c>
      <c r="B119" s="8">
        <f>B118+$O$1</f>
        <v>0.72569444444444464</v>
      </c>
      <c r="C119" s="4">
        <f>L7</f>
        <v>8</v>
      </c>
      <c r="D119" s="10" t="str">
        <f>K115</f>
        <v>GONZALEZ - REDONDO</v>
      </c>
      <c r="E119" s="10" t="str">
        <f>K116</f>
        <v>SANCER - SANCER</v>
      </c>
      <c r="F119" s="19" t="str">
        <f>K117</f>
        <v>SAGRERA - UREÑA</v>
      </c>
      <c r="G119" s="45"/>
      <c r="H119" s="15"/>
    </row>
    <row r="120" spans="1:19" s="11" customFormat="1" ht="27" customHeight="1">
      <c r="A120" s="11" t="s">
        <v>150</v>
      </c>
      <c r="B120" s="8">
        <f>B119+$O$1</f>
        <v>0.7430555555555558</v>
      </c>
      <c r="C120" s="4">
        <f>L7</f>
        <v>8</v>
      </c>
      <c r="D120" s="10" t="str">
        <f>K117</f>
        <v>SAGRERA - UREÑA</v>
      </c>
      <c r="E120" s="10" t="str">
        <f>K118</f>
        <v>TOMAS - ROMAN</v>
      </c>
      <c r="F120" s="19" t="str">
        <f>K115</f>
        <v>GONZALEZ - REDONDO</v>
      </c>
      <c r="G120" s="45"/>
      <c r="H120" s="15"/>
    </row>
    <row r="121" spans="1:19" s="11" customFormat="1" ht="27" customHeight="1">
      <c r="B121"/>
      <c r="C121" s="9"/>
      <c r="D121" s="28"/>
      <c r="E121" s="28"/>
      <c r="F121" s="28"/>
      <c r="G121" s="46"/>
      <c r="H121" s="46"/>
    </row>
    <row r="122" spans="1:19" ht="27" customHeight="1">
      <c r="B122" s="4" t="s">
        <v>48</v>
      </c>
    </row>
    <row r="123" spans="1:19" ht="27" customHeight="1">
      <c r="B123" s="4" t="s">
        <v>2</v>
      </c>
      <c r="C123" s="4" t="s">
        <v>3</v>
      </c>
      <c r="D123" s="4" t="s">
        <v>4</v>
      </c>
      <c r="E123" s="4" t="s">
        <v>5</v>
      </c>
      <c r="F123" s="4" t="s">
        <v>14</v>
      </c>
      <c r="G123" s="4" t="s">
        <v>7</v>
      </c>
      <c r="H123" s="4" t="s">
        <v>7</v>
      </c>
    </row>
    <row r="124" spans="1:19" ht="27" customHeight="1">
      <c r="B124" s="9"/>
      <c r="C124" s="9"/>
      <c r="D124" s="9"/>
      <c r="E124" s="9"/>
      <c r="F124" s="9"/>
      <c r="G124" s="9"/>
      <c r="H124" s="9"/>
    </row>
    <row r="125" spans="1:19" ht="27" customHeight="1">
      <c r="B125" s="9"/>
      <c r="C125" s="9" t="s">
        <v>35</v>
      </c>
      <c r="D125" s="4" t="s">
        <v>17</v>
      </c>
      <c r="E125" s="4" t="s">
        <v>49</v>
      </c>
      <c r="F125" s="4" t="s">
        <v>50</v>
      </c>
    </row>
    <row r="126" spans="1:19" ht="27" customHeight="1">
      <c r="A126" t="s">
        <v>151</v>
      </c>
      <c r="B126" s="23">
        <f>B103+1.6*$O$1</f>
        <v>0.77083333333333359</v>
      </c>
      <c r="C126" s="4">
        <f>Chicas!L4</f>
        <v>1</v>
      </c>
      <c r="D126" s="4" t="str">
        <f>IF(S89="Pdte"," ",S89)</f>
        <v xml:space="preserve"> </v>
      </c>
      <c r="E126" s="4" t="str">
        <f>IF(S107="Pdte"," ",S107)</f>
        <v xml:space="preserve"> </v>
      </c>
      <c r="F126" s="4" t="str">
        <f>IF(S99="Pdte"," ",S99)</f>
        <v xml:space="preserve"> </v>
      </c>
      <c r="G126" s="24"/>
      <c r="H126" s="25"/>
      <c r="J126" s="35"/>
      <c r="K126" s="27"/>
      <c r="L126" s="27"/>
      <c r="M126" s="27"/>
      <c r="N126" s="27"/>
      <c r="O126" s="36"/>
    </row>
    <row r="127" spans="1:19" ht="27" customHeight="1">
      <c r="B127" s="9"/>
      <c r="C127" s="9"/>
      <c r="J127" s="35"/>
      <c r="K127" s="27"/>
      <c r="L127" s="27"/>
      <c r="M127" s="27"/>
      <c r="N127" s="27"/>
      <c r="O127" s="36"/>
    </row>
    <row r="128" spans="1:19" ht="27" customHeight="1">
      <c r="B128" s="9"/>
      <c r="C128" s="9" t="s">
        <v>36</v>
      </c>
      <c r="D128" s="4" t="s">
        <v>51</v>
      </c>
      <c r="E128" s="4" t="s">
        <v>50</v>
      </c>
      <c r="F128" s="4" t="s">
        <v>37</v>
      </c>
      <c r="J128" s="35"/>
      <c r="K128" s="27"/>
      <c r="L128" s="27"/>
      <c r="M128" s="27"/>
      <c r="N128" s="27"/>
      <c r="O128" s="36"/>
    </row>
    <row r="129" spans="1:15" ht="27" customHeight="1">
      <c r="A129" t="s">
        <v>152</v>
      </c>
      <c r="B129" s="23">
        <v>0.78819444444444475</v>
      </c>
      <c r="C129" s="4">
        <v>1</v>
      </c>
      <c r="D129" s="4" t="s">
        <v>174</v>
      </c>
      <c r="E129" s="4" t="s">
        <v>174</v>
      </c>
      <c r="F129" s="4" t="s">
        <v>174</v>
      </c>
      <c r="G129" s="24"/>
      <c r="H129" s="25"/>
      <c r="J129" s="35"/>
      <c r="K129" s="27"/>
      <c r="L129" s="27"/>
      <c r="M129" s="27"/>
      <c r="N129" s="27"/>
      <c r="O129" s="36"/>
    </row>
    <row r="130" spans="1:15" ht="27" customHeight="1">
      <c r="B130" s="9"/>
      <c r="C130" s="9"/>
      <c r="D130" s="9"/>
      <c r="E130" s="9"/>
      <c r="F130" s="9"/>
      <c r="G130" s="9"/>
      <c r="H130" s="9"/>
      <c r="J130" s="35"/>
      <c r="K130" s="27"/>
      <c r="L130" s="27"/>
      <c r="M130" s="27"/>
      <c r="N130" s="27"/>
      <c r="O130" s="36"/>
    </row>
    <row r="131" spans="1:15" ht="27" customHeight="1">
      <c r="B131" s="9"/>
      <c r="C131" s="9" t="s">
        <v>38</v>
      </c>
      <c r="D131" s="4" t="s">
        <v>52</v>
      </c>
      <c r="E131" s="4" t="s">
        <v>53</v>
      </c>
      <c r="F131" s="4" t="s">
        <v>16</v>
      </c>
    </row>
    <row r="132" spans="1:15" ht="27" customHeight="1">
      <c r="A132" t="s">
        <v>153</v>
      </c>
      <c r="B132" s="23">
        <f>B103+1.6*$O$1</f>
        <v>0.77083333333333359</v>
      </c>
      <c r="C132" s="4">
        <f>L5</f>
        <v>6</v>
      </c>
      <c r="D132" s="4" t="str">
        <f>IF(S98="Pdte"," ",S98)</f>
        <v xml:space="preserve"> </v>
      </c>
      <c r="E132" s="4" t="str">
        <f>IF(S116="Pdte"," ",S116)</f>
        <v xml:space="preserve"> </v>
      </c>
      <c r="F132" s="4" t="str">
        <f>IF(S90="Pdte"," ",S90)</f>
        <v xml:space="preserve"> </v>
      </c>
      <c r="G132" s="24"/>
      <c r="H132" s="25"/>
      <c r="J132" s="35"/>
      <c r="K132" s="27"/>
      <c r="L132" s="27"/>
      <c r="M132" s="27"/>
      <c r="N132" s="27"/>
      <c r="O132" s="36"/>
    </row>
    <row r="133" spans="1:15" ht="27" customHeight="1">
      <c r="B133" s="9"/>
      <c r="C133" s="9"/>
      <c r="J133" s="35"/>
      <c r="K133" s="27"/>
      <c r="L133" s="27"/>
      <c r="M133" s="27"/>
      <c r="N133" s="27"/>
      <c r="O133" s="36"/>
    </row>
    <row r="134" spans="1:15" ht="27" customHeight="1">
      <c r="B134" s="9"/>
      <c r="C134" s="9" t="s">
        <v>39</v>
      </c>
      <c r="D134" s="4" t="s">
        <v>54</v>
      </c>
      <c r="E134" s="4" t="s">
        <v>16</v>
      </c>
      <c r="F134" s="4" t="s">
        <v>40</v>
      </c>
      <c r="J134" s="35"/>
      <c r="K134" s="27"/>
      <c r="L134" s="27"/>
      <c r="M134" s="27"/>
      <c r="N134" s="27"/>
      <c r="O134" s="36"/>
    </row>
    <row r="135" spans="1:15" ht="27" customHeight="1">
      <c r="A135" t="s">
        <v>154</v>
      </c>
      <c r="B135" s="23">
        <f>B126+$O$1</f>
        <v>0.78819444444444475</v>
      </c>
      <c r="C135" s="4">
        <f>L5</f>
        <v>6</v>
      </c>
      <c r="D135" s="4" t="str">
        <f>IF(S106="Pdte"," ",S106)</f>
        <v xml:space="preserve"> </v>
      </c>
      <c r="E135" s="4" t="str">
        <f>IF(S90="Pdte"," ",S90)</f>
        <v xml:space="preserve"> </v>
      </c>
      <c r="F135" s="4" t="str">
        <f>IF(G132&gt;H132,D132,IF(G132&lt;H132,E132," "))</f>
        <v xml:space="preserve"> </v>
      </c>
      <c r="G135" s="24"/>
      <c r="H135" s="25"/>
      <c r="J135" s="35"/>
      <c r="K135" s="27"/>
      <c r="L135" s="27"/>
      <c r="M135" s="27"/>
      <c r="N135" s="27"/>
      <c r="O135" s="36"/>
    </row>
    <row r="136" spans="1:15" ht="27" customHeight="1">
      <c r="B136" s="37"/>
      <c r="C136" s="9"/>
      <c r="G136" s="38"/>
      <c r="H136" s="38"/>
      <c r="J136" s="35"/>
      <c r="K136" s="27"/>
      <c r="L136" s="27"/>
      <c r="M136" s="27"/>
      <c r="N136" s="27"/>
      <c r="O136" s="36"/>
    </row>
    <row r="137" spans="1:15" ht="27" customHeight="1">
      <c r="B137" s="9"/>
      <c r="C137" s="9" t="s">
        <v>15</v>
      </c>
      <c r="D137" s="4" t="s">
        <v>37</v>
      </c>
      <c r="E137" s="4" t="s">
        <v>41</v>
      </c>
      <c r="F137" s="4" t="s">
        <v>42</v>
      </c>
      <c r="J137" s="35"/>
      <c r="K137" s="27"/>
      <c r="L137" s="27"/>
      <c r="M137" s="27"/>
      <c r="N137" s="27"/>
      <c r="O137" s="36"/>
    </row>
    <row r="138" spans="1:15" ht="27" customHeight="1">
      <c r="A138" t="s">
        <v>155</v>
      </c>
      <c r="B138" s="23">
        <f>B129+$O$1</f>
        <v>0.80555555555555591</v>
      </c>
      <c r="C138" s="4">
        <f>Chicas!L4</f>
        <v>1</v>
      </c>
      <c r="D138" s="4" t="str">
        <f>IF(G126&gt;H126,D126,IF(G126&lt;H126,E126," "))</f>
        <v xml:space="preserve"> </v>
      </c>
      <c r="E138" s="4" t="str">
        <f>IF(G129&gt;H129,D129,IF(G129&lt;H129,E129," "))</f>
        <v xml:space="preserve"> </v>
      </c>
      <c r="F138" s="4" t="str">
        <f>IF(G129&gt;H129,E129,IF(G129&lt;H129,D129," "))</f>
        <v xml:space="preserve"> </v>
      </c>
      <c r="G138" s="24"/>
      <c r="H138" s="25"/>
    </row>
    <row r="139" spans="1:15" ht="27" customHeight="1">
      <c r="B139" s="9"/>
      <c r="C139" s="9"/>
    </row>
    <row r="140" spans="1:15" ht="27" customHeight="1">
      <c r="B140" s="9"/>
      <c r="C140" s="9" t="s">
        <v>43</v>
      </c>
      <c r="D140" s="4" t="s">
        <v>40</v>
      </c>
      <c r="E140" s="4" t="s">
        <v>44</v>
      </c>
      <c r="F140" s="4" t="s">
        <v>45</v>
      </c>
    </row>
    <row r="141" spans="1:15" ht="27" customHeight="1">
      <c r="A141" t="s">
        <v>156</v>
      </c>
      <c r="B141" s="23">
        <f>B129+$O$1</f>
        <v>0.80555555555555591</v>
      </c>
      <c r="C141" s="4">
        <f>L5</f>
        <v>6</v>
      </c>
      <c r="D141" s="4" t="str">
        <f>IF(G132&gt;H132,D132,IF(G132&lt;H132,E132," "))</f>
        <v xml:space="preserve"> </v>
      </c>
      <c r="E141" s="4" t="str">
        <f>IF(G135&gt;H135,D135,IF(G135&lt;H135,E135," "))</f>
        <v xml:space="preserve"> </v>
      </c>
      <c r="F141" s="4" t="str">
        <f>IF(G135&gt;H135,E135,IF(G135&lt;H135,D135," "))</f>
        <v xml:space="preserve"> </v>
      </c>
      <c r="G141" s="24"/>
      <c r="H141" s="25"/>
    </row>
    <row r="142" spans="1:15" ht="27" customHeight="1">
      <c r="B142" s="9"/>
      <c r="C142" s="9"/>
    </row>
    <row r="143" spans="1:15" ht="27" customHeight="1">
      <c r="B143" s="9"/>
      <c r="C143" s="9" t="s">
        <v>18</v>
      </c>
      <c r="D143" s="4" t="s">
        <v>19</v>
      </c>
      <c r="E143" s="4" t="s">
        <v>46</v>
      </c>
    </row>
    <row r="144" spans="1:15" ht="27" customHeight="1">
      <c r="A144" t="s">
        <v>157</v>
      </c>
      <c r="B144" s="23">
        <f>B138+2*$O$1</f>
        <v>0.84027777777777812</v>
      </c>
      <c r="C144" s="26">
        <v>1</v>
      </c>
      <c r="D144" s="4" t="str">
        <f>IF(G138&gt;H138,D138,IF(G138&lt;H138,E138," "))</f>
        <v xml:space="preserve"> </v>
      </c>
      <c r="E144" s="4" t="str">
        <f>IF(G141&gt;H141,D141,IF(G141&lt;H141,E141," "))</f>
        <v xml:space="preserve"> </v>
      </c>
      <c r="F144" s="4" t="s">
        <v>20</v>
      </c>
      <c r="G144" s="24"/>
      <c r="H144" s="25"/>
    </row>
    <row r="145" spans="1:27" s="11" customFormat="1" ht="20.25" customHeight="1">
      <c r="B145"/>
      <c r="C145"/>
    </row>
    <row r="147" spans="1:27"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</row>
    <row r="150" spans="1:27" s="11" customFormat="1" ht="21.75" customHeight="1">
      <c r="B150" s="4" t="s">
        <v>2</v>
      </c>
      <c r="C150" s="4" t="s">
        <v>3</v>
      </c>
      <c r="D150" s="10" t="s">
        <v>4</v>
      </c>
      <c r="E150" s="10" t="s">
        <v>5</v>
      </c>
      <c r="F150" s="4" t="s">
        <v>14</v>
      </c>
      <c r="G150" s="10" t="s">
        <v>7</v>
      </c>
      <c r="H150" s="10" t="s">
        <v>7</v>
      </c>
      <c r="J150" s="7" t="s">
        <v>8</v>
      </c>
      <c r="K150" s="9" t="s">
        <v>23</v>
      </c>
      <c r="L150" s="4" t="s">
        <v>9</v>
      </c>
      <c r="M150" s="4" t="s">
        <v>10</v>
      </c>
      <c r="N150" s="4" t="s">
        <v>11</v>
      </c>
      <c r="O150" s="10" t="s">
        <v>12</v>
      </c>
      <c r="P150" s="10" t="s">
        <v>26</v>
      </c>
      <c r="R150" s="4" t="s">
        <v>13</v>
      </c>
      <c r="S150" s="4" t="str">
        <f>K150</f>
        <v>Grup A</v>
      </c>
    </row>
    <row r="151" spans="1:27" ht="21.75" customHeight="1">
      <c r="A151" t="s">
        <v>158</v>
      </c>
      <c r="B151" s="8">
        <f>$L$2</f>
        <v>0.65625</v>
      </c>
      <c r="C151" s="4">
        <f>M4</f>
        <v>9</v>
      </c>
      <c r="D151" s="10" t="str">
        <f>K151</f>
        <v>FRANCISCO - MARTINEZ</v>
      </c>
      <c r="E151" s="10" t="str">
        <f>K153</f>
        <v>PANZANO - GALAN</v>
      </c>
      <c r="F151" s="4" t="str">
        <f>K152</f>
        <v>FISCHER - DIEDERICHS</v>
      </c>
      <c r="G151" s="29"/>
      <c r="H151" s="30"/>
      <c r="J151" s="7">
        <f>RANK(P151,P151:P153,0)</f>
        <v>1</v>
      </c>
      <c r="K151" s="10" t="str">
        <f>IF(S11="Pdte","3r Grup 1 Matí",S13)</f>
        <v>FRANCISCO - MARTINEZ</v>
      </c>
      <c r="L151" s="4">
        <f>(IF(G151&gt;H151,1,IF(G151&lt;H151,0,))+(IF(G153&gt;H153,1,IF(G153&lt;H153,0,))))</f>
        <v>0</v>
      </c>
      <c r="M151" s="4">
        <f>G151+G153</f>
        <v>0</v>
      </c>
      <c r="N151" s="4">
        <f>H151+H153</f>
        <v>0</v>
      </c>
      <c r="O151" s="20" t="str">
        <f>IFERROR(M151/N151,"Max")</f>
        <v>Max</v>
      </c>
      <c r="P151" s="20">
        <f>IF(O151="Max",400,(L151*100)+O151)</f>
        <v>400</v>
      </c>
      <c r="Q151" s="11"/>
      <c r="R151" s="21">
        <v>1</v>
      </c>
      <c r="S151" s="7" t="str">
        <f>IF($L151+$L152+$L153=3,INDEX(K151:K153,MATCH($R151,J151:J153,0)),"Pdte")</f>
        <v>Pdte</v>
      </c>
      <c r="T151" s="11"/>
      <c r="V151" s="11"/>
      <c r="W151" s="11"/>
      <c r="X151" s="11"/>
      <c r="Z151" s="11"/>
    </row>
    <row r="152" spans="1:27" ht="21.75" customHeight="1">
      <c r="A152" t="s">
        <v>158</v>
      </c>
      <c r="B152" s="8">
        <f>B156+$O$1</f>
        <v>0.69097222222222232</v>
      </c>
      <c r="C152" s="4">
        <f>M4</f>
        <v>9</v>
      </c>
      <c r="D152" s="10" t="str">
        <f>K152</f>
        <v>FISCHER - DIEDERICHS</v>
      </c>
      <c r="E152" s="10" t="str">
        <f>K153</f>
        <v>PANZANO - GALAN</v>
      </c>
      <c r="F152" s="4" t="str">
        <f>K151</f>
        <v>FRANCISCO - MARTINEZ</v>
      </c>
      <c r="G152" s="29"/>
      <c r="H152" s="30"/>
      <c r="J152" s="7">
        <f>RANK(P152,P151:P153,0)</f>
        <v>1</v>
      </c>
      <c r="K152" s="10" t="str">
        <f>IF(S45="Pdte"," 4t Grup 5 Matí",S48)</f>
        <v>FISCHER - DIEDERICHS</v>
      </c>
      <c r="L152" s="4">
        <f>(IF(G152&gt;H152,1,IF(G152&lt;H152,0,))+(IF(H153&gt;G153,1,IF(H153&lt;G153,0,))))</f>
        <v>0</v>
      </c>
      <c r="M152" s="4">
        <f>G152+H153</f>
        <v>0</v>
      </c>
      <c r="N152" s="4">
        <f>H152+G153</f>
        <v>0</v>
      </c>
      <c r="O152" s="20" t="str">
        <f>IFERROR(M152/N152,"Max")</f>
        <v>Max</v>
      </c>
      <c r="P152" s="20">
        <f>IF(O152="Max",400,(L152*100)+O152)</f>
        <v>400</v>
      </c>
      <c r="Q152" s="11"/>
      <c r="R152" s="21">
        <v>2</v>
      </c>
      <c r="S152" s="7" t="str">
        <f>IF($L152+$L153+$L151=3,INDEX(K151:K153,MATCH($R152,J151:J153,0)),"Pdte")</f>
        <v>Pdte</v>
      </c>
      <c r="T152" s="11"/>
      <c r="V152" s="11"/>
      <c r="W152" s="11"/>
      <c r="X152" s="11"/>
      <c r="Y152" s="11"/>
      <c r="Z152" s="11"/>
    </row>
    <row r="153" spans="1:27" ht="21.75" customHeight="1">
      <c r="A153" t="s">
        <v>158</v>
      </c>
      <c r="B153" s="8">
        <f>B157+$O$1</f>
        <v>0.72569444444444464</v>
      </c>
      <c r="C153" s="4">
        <f>M4</f>
        <v>9</v>
      </c>
      <c r="D153" s="10" t="str">
        <f>K151</f>
        <v>FRANCISCO - MARTINEZ</v>
      </c>
      <c r="E153" s="10" t="str">
        <f>K152</f>
        <v>FISCHER - DIEDERICHS</v>
      </c>
      <c r="F153" s="4" t="str">
        <f>K153</f>
        <v>PANZANO - GALAN</v>
      </c>
      <c r="G153" s="29"/>
      <c r="H153" s="30"/>
      <c r="J153" s="7">
        <f>RANK(P153,P151:P153,0)</f>
        <v>1</v>
      </c>
      <c r="K153" s="10" t="str">
        <f>IF(S36="Pdte","4t Grup 4 Matí",S39)</f>
        <v>PANZANO - GALAN</v>
      </c>
      <c r="L153" s="4">
        <f>(IF(H151&gt;G151,1,IF(H151&lt;G151,0,))+(IF(H152&gt;G152,1,IF(H152&lt;G152,0,))))</f>
        <v>0</v>
      </c>
      <c r="M153" s="4">
        <f>H151+H152</f>
        <v>0</v>
      </c>
      <c r="N153" s="4">
        <f>G151+G152</f>
        <v>0</v>
      </c>
      <c r="O153" s="20" t="str">
        <f>IFERROR(M153/N153,"Max")</f>
        <v>Max</v>
      </c>
      <c r="P153" s="20">
        <f>IF(O153="Max",400,(L153*100)+O153)</f>
        <v>400</v>
      </c>
      <c r="Q153" s="11"/>
      <c r="R153" s="21">
        <v>3</v>
      </c>
      <c r="S153" s="7" t="str">
        <f>IF($L153+$L152+$L151=3,INDEX(K151:K153,MATCH($R153,J151:J153,0)),"Pdte")</f>
        <v>Pdte</v>
      </c>
      <c r="T153" s="11"/>
      <c r="V153" s="11"/>
      <c r="W153" s="11"/>
      <c r="X153" s="11"/>
      <c r="Z153" s="11"/>
      <c r="AA153" s="11"/>
    </row>
    <row r="154" spans="1:27" s="11" customFormat="1" ht="21.75" customHeight="1">
      <c r="B154"/>
      <c r="C154"/>
      <c r="U154"/>
    </row>
    <row r="155" spans="1:27" s="11" customFormat="1" ht="21.75" customHeight="1">
      <c r="B155" s="4" t="s">
        <v>2</v>
      </c>
      <c r="C155" s="4" t="s">
        <v>3</v>
      </c>
      <c r="D155" s="10" t="s">
        <v>4</v>
      </c>
      <c r="E155" s="10" t="s">
        <v>5</v>
      </c>
      <c r="F155" s="4" t="s">
        <v>14</v>
      </c>
      <c r="G155" s="10" t="s">
        <v>7</v>
      </c>
      <c r="H155" s="10" t="s">
        <v>7</v>
      </c>
      <c r="J155" s="7" t="s">
        <v>8</v>
      </c>
      <c r="K155" s="9" t="s">
        <v>25</v>
      </c>
      <c r="L155" s="4" t="s">
        <v>9</v>
      </c>
      <c r="M155" s="4" t="s">
        <v>10</v>
      </c>
      <c r="N155" s="4" t="s">
        <v>11</v>
      </c>
      <c r="O155" s="10" t="s">
        <v>12</v>
      </c>
      <c r="P155" s="10" t="s">
        <v>26</v>
      </c>
      <c r="R155" s="4" t="s">
        <v>13</v>
      </c>
      <c r="S155" s="4" t="str">
        <f>K155</f>
        <v>Grup B</v>
      </c>
    </row>
    <row r="156" spans="1:27" ht="21.75" customHeight="1">
      <c r="A156" t="s">
        <v>159</v>
      </c>
      <c r="B156" s="8">
        <f>B151+$O$1</f>
        <v>0.67361111111111116</v>
      </c>
      <c r="C156" s="4">
        <f>M4</f>
        <v>9</v>
      </c>
      <c r="D156" s="10" t="str">
        <f>K156</f>
        <v>DI GIULIO - LABIAUSSE</v>
      </c>
      <c r="E156" s="10" t="str">
        <f>K158</f>
        <v>MACIA - GARCIA</v>
      </c>
      <c r="F156" s="4" t="str">
        <f>K157</f>
        <v>MENDEZ - SOTO</v>
      </c>
      <c r="G156" s="31"/>
      <c r="H156" s="32"/>
      <c r="J156" s="7">
        <f>RANK(P156,P156:P158,0)</f>
        <v>1</v>
      </c>
      <c r="K156" s="10" t="str">
        <f>IF(S20="Pdte","3r Grup 2 Matí",S22)</f>
        <v>DI GIULIO - LABIAUSSE</v>
      </c>
      <c r="L156" s="4">
        <f>(IF(G156&gt;H156,1,IF(G156&lt;H156,0,))+(IF(G158&gt;H158,1,IF(G158&lt;H158,0,))))</f>
        <v>0</v>
      </c>
      <c r="M156" s="4">
        <f>G156+G158</f>
        <v>0</v>
      </c>
      <c r="N156" s="4">
        <f>H156+H158</f>
        <v>0</v>
      </c>
      <c r="O156" s="20" t="str">
        <f>IFERROR(M156/N156,"Max")</f>
        <v>Max</v>
      </c>
      <c r="P156" s="20">
        <f>IF(O156="Max",400,(L156*100)+O156)</f>
        <v>400</v>
      </c>
      <c r="Q156" s="11"/>
      <c r="R156" s="21">
        <v>1</v>
      </c>
      <c r="S156" s="7" t="str">
        <f>IF($L156+$L157+$L158=3,INDEX(K156:K158,MATCH($R156,J156:J158,0)),"Pdte")</f>
        <v>Pdte</v>
      </c>
      <c r="T156" s="11"/>
    </row>
    <row r="157" spans="1:27" ht="21.75" customHeight="1">
      <c r="A157" t="s">
        <v>159</v>
      </c>
      <c r="B157" s="8">
        <f>B152+$O$1</f>
        <v>0.70833333333333348</v>
      </c>
      <c r="C157" s="4">
        <f>M4</f>
        <v>9</v>
      </c>
      <c r="D157" s="10" t="str">
        <f>K157</f>
        <v>MENDEZ - SOTO</v>
      </c>
      <c r="E157" s="10" t="str">
        <f>K158</f>
        <v>MACIA - GARCIA</v>
      </c>
      <c r="F157" s="4" t="str">
        <f>K156</f>
        <v>DI GIULIO - LABIAUSSE</v>
      </c>
      <c r="G157" s="31"/>
      <c r="H157" s="32"/>
      <c r="J157" s="7">
        <f>RANK(P157,P156:P158,0)</f>
        <v>1</v>
      </c>
      <c r="K157" s="10" t="str">
        <f>IF(S54="Pdte","4t Grup 6 Matí",S57)</f>
        <v>MENDEZ - SOTO</v>
      </c>
      <c r="L157" s="4">
        <f>(IF(G157&gt;H157,1,IF(G157&lt;H157,0,))+(IF(H158&gt;G158,1,IF(H158&lt;G158,0,))))</f>
        <v>0</v>
      </c>
      <c r="M157" s="4">
        <f>G157+H158</f>
        <v>0</v>
      </c>
      <c r="N157" s="4">
        <f>H157+G158</f>
        <v>0</v>
      </c>
      <c r="O157" s="20" t="str">
        <f>IFERROR(M157/N157,"Max")</f>
        <v>Max</v>
      </c>
      <c r="P157" s="20">
        <f>IF(O157="Max",400,(L157*100)+O157)</f>
        <v>400</v>
      </c>
      <c r="Q157" s="11"/>
      <c r="R157" s="21">
        <v>2</v>
      </c>
      <c r="S157" s="7" t="str">
        <f>IF($L157+$L158+$L156=3,INDEX(K156:K158,MATCH($R157,J156:J158,0)),"Pdte")</f>
        <v>Pdte</v>
      </c>
      <c r="T157" s="11"/>
    </row>
    <row r="158" spans="1:27" ht="21.75" customHeight="1">
      <c r="A158" t="s">
        <v>159</v>
      </c>
      <c r="B158" s="8">
        <f>B153+$O$1</f>
        <v>0.7430555555555558</v>
      </c>
      <c r="C158" s="4">
        <f>M4</f>
        <v>9</v>
      </c>
      <c r="D158" s="10" t="str">
        <f>K156</f>
        <v>DI GIULIO - LABIAUSSE</v>
      </c>
      <c r="E158" s="10" t="str">
        <f>K157</f>
        <v>MENDEZ - SOTO</v>
      </c>
      <c r="F158" s="4" t="str">
        <f>K158</f>
        <v>MACIA - GARCIA</v>
      </c>
      <c r="G158" s="31"/>
      <c r="H158" s="32"/>
      <c r="J158" s="7">
        <f>RANK(P158,P156:P158,0)</f>
        <v>1</v>
      </c>
      <c r="K158" s="10" t="str">
        <f>IF(S28="Pdte","4t Grup 3 Matí",S31)</f>
        <v>MACIA - GARCIA</v>
      </c>
      <c r="L158" s="4">
        <f>(IF(H156&gt;G156,1,IF(H156&lt;G156,0,))+(IF(H157&gt;G157,1,IF(H157&lt;G157,0,))))</f>
        <v>0</v>
      </c>
      <c r="M158" s="4">
        <f>H156+H157</f>
        <v>0</v>
      </c>
      <c r="N158" s="4">
        <f>G156+G157</f>
        <v>0</v>
      </c>
      <c r="O158" s="20" t="str">
        <f>IFERROR(M158/N158,"Max")</f>
        <v>Max</v>
      </c>
      <c r="P158" s="20">
        <f>IF(O158="Max",400,(L158*100)+O158)</f>
        <v>400</v>
      </c>
      <c r="Q158" s="11"/>
      <c r="R158" s="21">
        <v>3</v>
      </c>
      <c r="S158" s="7" t="str">
        <f>IF($L158+$L157+$L156=3,INDEX(K156:K158,MATCH($R158,J156:J158,0)),"Pdte")</f>
        <v>Pdte</v>
      </c>
      <c r="T158" s="11"/>
    </row>
    <row r="159" spans="1:27" s="11" customFormat="1" ht="21.75" customHeight="1">
      <c r="B159"/>
      <c r="C159"/>
    </row>
    <row r="160" spans="1:27" s="11" customFormat="1" ht="21.75" customHeight="1">
      <c r="B160" s="4" t="s">
        <v>2</v>
      </c>
      <c r="C160" s="4" t="s">
        <v>3</v>
      </c>
      <c r="D160" s="10" t="s">
        <v>4</v>
      </c>
      <c r="E160" s="10" t="s">
        <v>5</v>
      </c>
      <c r="F160" s="4" t="s">
        <v>14</v>
      </c>
      <c r="G160" s="10" t="s">
        <v>7</v>
      </c>
      <c r="H160" s="10" t="s">
        <v>7</v>
      </c>
      <c r="J160" s="7" t="s">
        <v>8</v>
      </c>
      <c r="K160" s="9" t="s">
        <v>27</v>
      </c>
      <c r="L160" s="4" t="s">
        <v>9</v>
      </c>
      <c r="M160" s="4" t="s">
        <v>10</v>
      </c>
      <c r="N160" s="4" t="s">
        <v>11</v>
      </c>
      <c r="O160" s="10" t="s">
        <v>12</v>
      </c>
      <c r="P160" s="10" t="s">
        <v>26</v>
      </c>
      <c r="R160" s="4" t="s">
        <v>13</v>
      </c>
      <c r="S160" s="4" t="str">
        <f>K160</f>
        <v>Grup C</v>
      </c>
    </row>
    <row r="161" spans="1:27" ht="21.75" customHeight="1">
      <c r="A161" t="s">
        <v>160</v>
      </c>
      <c r="B161" s="8">
        <f>$L$2</f>
        <v>0.65625</v>
      </c>
      <c r="C161" s="4">
        <f>M5</f>
        <v>10</v>
      </c>
      <c r="D161" s="10" t="str">
        <f>K161</f>
        <v>TARGLIAFERRO - MOLINE</v>
      </c>
      <c r="E161" s="10" t="str">
        <f>K163</f>
        <v>FRANçOIS - HERNANDEZ</v>
      </c>
      <c r="F161" s="4" t="str">
        <f>K162</f>
        <v>GOMEZ - PONSA</v>
      </c>
      <c r="G161" s="31"/>
      <c r="H161" s="32"/>
      <c r="J161" s="7">
        <f>RANK(P161,P161:P163,0)</f>
        <v>1</v>
      </c>
      <c r="K161" s="10" t="str">
        <f>IF(S28="Pdte","3r Grup 3 Matí",S30)</f>
        <v>TARGLIAFERRO - MOLINE</v>
      </c>
      <c r="L161" s="4">
        <f>(IF(G161&gt;H161,1,IF(G161&lt;H161,0,))+(IF(G163&gt;H163,1,IF(G163&lt;H163,0,))))</f>
        <v>0</v>
      </c>
      <c r="M161" s="4">
        <f>G161+G163</f>
        <v>0</v>
      </c>
      <c r="N161" s="4">
        <f>H161+H163</f>
        <v>0</v>
      </c>
      <c r="O161" s="20" t="str">
        <f>IFERROR(M161/N161,"Max")</f>
        <v>Max</v>
      </c>
      <c r="P161" s="20">
        <f>IF(O161="Max",400,(L161*100)+O161)</f>
        <v>400</v>
      </c>
      <c r="Q161" s="11"/>
      <c r="R161" s="21">
        <v>1</v>
      </c>
      <c r="S161" s="7" t="str">
        <f>IF($L161+$L162+$L163=3,INDEX(K161:K163,MATCH($R161,J161:J163,0)),"Pdte")</f>
        <v>Pdte</v>
      </c>
      <c r="T161" s="11"/>
    </row>
    <row r="162" spans="1:27" ht="21.75" customHeight="1">
      <c r="A162" t="s">
        <v>160</v>
      </c>
      <c r="B162" s="8">
        <f>B166+$O$1</f>
        <v>0.69097222222222232</v>
      </c>
      <c r="C162" s="4">
        <f>M5</f>
        <v>10</v>
      </c>
      <c r="D162" s="10" t="str">
        <f>K162</f>
        <v>GOMEZ - PONSA</v>
      </c>
      <c r="E162" s="10" t="str">
        <f>K163</f>
        <v>FRANçOIS - HERNANDEZ</v>
      </c>
      <c r="F162" s="4" t="str">
        <f>K161</f>
        <v>TARGLIAFERRO - MOLINE</v>
      </c>
      <c r="G162" s="33"/>
      <c r="H162" s="34"/>
      <c r="J162" s="7">
        <f>RANK(P162,P161:P163,0)</f>
        <v>1</v>
      </c>
      <c r="K162" s="10" t="str">
        <f>IF(S62="Pdte","4t Grup 7 Matí",S65)</f>
        <v>GOMEZ - PONSA</v>
      </c>
      <c r="L162" s="4">
        <f>(IF(G162&gt;H162,1,IF(G162&lt;H162,0,))+(IF(H163&gt;G163,1,IF(H163&lt;G163,0,))))</f>
        <v>0</v>
      </c>
      <c r="M162" s="4">
        <f>G162+H163</f>
        <v>0</v>
      </c>
      <c r="N162" s="4">
        <f>H162+G163</f>
        <v>0</v>
      </c>
      <c r="O162" s="20" t="str">
        <f>IFERROR(M162/N162,"Max")</f>
        <v>Max</v>
      </c>
      <c r="P162" s="20">
        <f>IF(O162="Max",400,(L162*100)+O162)</f>
        <v>400</v>
      </c>
      <c r="Q162" s="11"/>
      <c r="R162" s="21">
        <v>2</v>
      </c>
      <c r="S162" s="7" t="str">
        <f>IF($L162+$L163+$L161=3,INDEX(K161:K163,MATCH($R162,J161:J163,0)),"Pdte")</f>
        <v>Pdte</v>
      </c>
      <c r="T162" s="11"/>
    </row>
    <row r="163" spans="1:27" ht="21.75" customHeight="1">
      <c r="A163" t="s">
        <v>160</v>
      </c>
      <c r="B163" s="8">
        <f>B167+$O$1</f>
        <v>0.72569444444444464</v>
      </c>
      <c r="C163" s="4">
        <f>M5</f>
        <v>10</v>
      </c>
      <c r="D163" s="10" t="str">
        <f>K161</f>
        <v>TARGLIAFERRO - MOLINE</v>
      </c>
      <c r="E163" s="10" t="str">
        <f>K162</f>
        <v>GOMEZ - PONSA</v>
      </c>
      <c r="F163" s="4" t="str">
        <f>K163</f>
        <v>FRANçOIS - HERNANDEZ</v>
      </c>
      <c r="G163" s="33"/>
      <c r="H163" s="34"/>
      <c r="J163" s="7">
        <f>RANK(P163,P161:P163,0)</f>
        <v>1</v>
      </c>
      <c r="K163" s="10" t="str">
        <f>IF(S20="Pdte","4t Grup 2 Matí",S23)</f>
        <v>FRANçOIS - HERNANDEZ</v>
      </c>
      <c r="L163" s="4">
        <f>(IF(H161&gt;G161,1,IF(H161&lt;G161,0,))+(IF(H162&gt;G162,1,IF(H162&lt;G162,0,))))</f>
        <v>0</v>
      </c>
      <c r="M163" s="4">
        <f>H161+H162</f>
        <v>0</v>
      </c>
      <c r="N163" s="4">
        <f>G161+G162</f>
        <v>0</v>
      </c>
      <c r="O163" s="20" t="str">
        <f>IFERROR(M163/N163,"Max")</f>
        <v>Max</v>
      </c>
      <c r="P163" s="20">
        <f>IF(O163="Max",400,(L163*100)+O163)</f>
        <v>400</v>
      </c>
      <c r="Q163" s="11"/>
      <c r="R163" s="21">
        <v>3</v>
      </c>
      <c r="S163" s="7" t="str">
        <f>IF($L163+$L162+$L161=3,INDEX(K161:K163,MATCH($R163,J161:J163,0)),"Pdte")</f>
        <v>Pdte</v>
      </c>
      <c r="T163" s="11"/>
    </row>
    <row r="164" spans="1:27" s="11" customFormat="1" ht="21.75" customHeight="1">
      <c r="B164"/>
      <c r="C164"/>
    </row>
    <row r="165" spans="1:27" s="11" customFormat="1" ht="21.75" customHeight="1">
      <c r="B165" s="4" t="s">
        <v>2</v>
      </c>
      <c r="C165" s="4" t="s">
        <v>3</v>
      </c>
      <c r="D165" s="10" t="s">
        <v>4</v>
      </c>
      <c r="E165" s="10" t="s">
        <v>5</v>
      </c>
      <c r="F165" s="4" t="s">
        <v>14</v>
      </c>
      <c r="G165" s="10" t="s">
        <v>7</v>
      </c>
      <c r="H165" s="10" t="s">
        <v>7</v>
      </c>
      <c r="J165" s="7" t="s">
        <v>8</v>
      </c>
      <c r="K165" s="9" t="s">
        <v>28</v>
      </c>
      <c r="L165" s="4" t="s">
        <v>9</v>
      </c>
      <c r="M165" s="4" t="s">
        <v>10</v>
      </c>
      <c r="N165" s="4" t="s">
        <v>11</v>
      </c>
      <c r="O165" s="10" t="s">
        <v>12</v>
      </c>
      <c r="P165" s="10" t="s">
        <v>26</v>
      </c>
      <c r="R165" s="4" t="s">
        <v>13</v>
      </c>
      <c r="S165" s="4" t="str">
        <f>K165</f>
        <v>Grup D</v>
      </c>
    </row>
    <row r="166" spans="1:27" ht="21.75" customHeight="1">
      <c r="A166" t="s">
        <v>161</v>
      </c>
      <c r="B166" s="8">
        <f>B161+$O$1</f>
        <v>0.67361111111111116</v>
      </c>
      <c r="C166" s="4">
        <f>M5</f>
        <v>10</v>
      </c>
      <c r="D166" s="10" t="str">
        <f>K166</f>
        <v>FABREGA - ESTANY</v>
      </c>
      <c r="E166" s="10" t="str">
        <f>K168</f>
        <v>NOGUE - NOGUE</v>
      </c>
      <c r="F166" s="4" t="str">
        <f>K167</f>
        <v>MATARIN - AMOROS</v>
      </c>
      <c r="G166" s="31"/>
      <c r="H166" s="32"/>
      <c r="J166" s="7">
        <f>RANK(P166,P166:P168,0)</f>
        <v>1</v>
      </c>
      <c r="K166" s="10" t="str">
        <f>IF(S36="Pdte","3r Grup 4 Matí",S38)</f>
        <v>FABREGA - ESTANY</v>
      </c>
      <c r="L166" s="4">
        <f>(IF(G166&gt;H166,1,IF(G166&lt;H166,0,))+(IF(G168&gt;H168,1,IF(G168&lt;H168,0,))))</f>
        <v>0</v>
      </c>
      <c r="M166" s="4">
        <f>G166+G168</f>
        <v>0</v>
      </c>
      <c r="N166" s="4">
        <f>H166+H168</f>
        <v>0</v>
      </c>
      <c r="O166" s="20" t="str">
        <f>IFERROR(M166/N166,"Max")</f>
        <v>Max</v>
      </c>
      <c r="P166" s="20">
        <f>IF(O166="Max",400,(L166*100)+O166)</f>
        <v>400</v>
      </c>
      <c r="Q166" s="11"/>
      <c r="R166" s="21">
        <v>1</v>
      </c>
      <c r="S166" s="7" t="str">
        <f>IF($L166+$L167+$L168=3,INDEX(K166:K168,MATCH($R166,J166:J168,0)),"Pdte")</f>
        <v>Pdte</v>
      </c>
      <c r="T166" s="11"/>
    </row>
    <row r="167" spans="1:27" ht="21.75" customHeight="1">
      <c r="A167" t="s">
        <v>161</v>
      </c>
      <c r="B167" s="8">
        <f>B162+$O$1</f>
        <v>0.70833333333333348</v>
      </c>
      <c r="C167" s="4">
        <f>M5</f>
        <v>10</v>
      </c>
      <c r="D167" s="10" t="str">
        <f>K167</f>
        <v>MATARIN - AMOROS</v>
      </c>
      <c r="E167" s="10" t="str">
        <f>K168</f>
        <v>NOGUE - NOGUE</v>
      </c>
      <c r="F167" s="4" t="str">
        <f>K166</f>
        <v>FABREGA - ESTANY</v>
      </c>
      <c r="G167" s="31"/>
      <c r="H167" s="32"/>
      <c r="J167" s="7">
        <f>RANK(P167,P166:P168,0)</f>
        <v>1</v>
      </c>
      <c r="K167" s="10" t="str">
        <f>IF(S74="Pdte","4t Grup 8 Matí",S75)</f>
        <v>MATARIN - AMOROS</v>
      </c>
      <c r="L167" s="4">
        <f>(IF(G167&gt;H167,1,IF(G167&lt;H167,0,))+(IF(H168&gt;G168,1,IF(H168&lt;G168,0,))))</f>
        <v>0</v>
      </c>
      <c r="M167" s="4">
        <f>G167+H168</f>
        <v>0</v>
      </c>
      <c r="N167" s="4">
        <f>H167+G168</f>
        <v>0</v>
      </c>
      <c r="O167" s="20" t="str">
        <f>IFERROR(M167/N167,"Max")</f>
        <v>Max</v>
      </c>
      <c r="P167" s="20">
        <f>IF(O167="Max",400,(L167*100)+O167)</f>
        <v>400</v>
      </c>
      <c r="Q167" s="11"/>
      <c r="R167" s="21">
        <v>2</v>
      </c>
      <c r="S167" s="7" t="str">
        <f>IF($L167+$L168+$L166=3,INDEX(K166:K168,MATCH($R167,J166:J168,0)),"Pdte")</f>
        <v>Pdte</v>
      </c>
      <c r="T167" s="11"/>
    </row>
    <row r="168" spans="1:27" ht="21.75" customHeight="1">
      <c r="A168" t="s">
        <v>161</v>
      </c>
      <c r="B168" s="8">
        <f>B163+$O$1</f>
        <v>0.7430555555555558</v>
      </c>
      <c r="C168" s="4">
        <f>M5</f>
        <v>10</v>
      </c>
      <c r="D168" s="10" t="str">
        <f>K166</f>
        <v>FABREGA - ESTANY</v>
      </c>
      <c r="E168" s="10" t="str">
        <f>K167</f>
        <v>MATARIN - AMOROS</v>
      </c>
      <c r="F168" s="4" t="str">
        <f>K168</f>
        <v>NOGUE - NOGUE</v>
      </c>
      <c r="G168" s="31"/>
      <c r="H168" s="32"/>
      <c r="J168" s="7">
        <f>RANK(P168,P166:P168,0)</f>
        <v>1</v>
      </c>
      <c r="K168" s="10" t="str">
        <f>IF(S11="Pdte","4t Grup 1 Matí",S14)</f>
        <v>NOGUE - NOGUE</v>
      </c>
      <c r="L168" s="4">
        <f>(IF(H166&gt;G166,1,IF(H166&lt;G166,0,))+(IF(H167&gt;G167,1,IF(H167&lt;G167,0,))))</f>
        <v>0</v>
      </c>
      <c r="M168" s="4">
        <f>H166+H167</f>
        <v>0</v>
      </c>
      <c r="N168" s="4">
        <f>G166+G167</f>
        <v>0</v>
      </c>
      <c r="O168" s="20" t="str">
        <f>IFERROR(M168/N168,"Max")</f>
        <v>Max</v>
      </c>
      <c r="P168" s="20">
        <f>IF(O168="Max",400,(L168*100)+O168)</f>
        <v>400</v>
      </c>
      <c r="Q168" s="11"/>
      <c r="R168" s="21">
        <v>3</v>
      </c>
      <c r="S168" s="7" t="str">
        <f>IF($L168+$L167+$L166=3,INDEX(K166:K168,MATCH($R168,J166:J168,0)),"Pdte")</f>
        <v>Pdte</v>
      </c>
      <c r="T168" s="11"/>
    </row>
    <row r="170" spans="1:27" s="11" customFormat="1" ht="21.75" customHeight="1">
      <c r="B170" s="4" t="s">
        <v>2</v>
      </c>
      <c r="C170" s="4" t="s">
        <v>3</v>
      </c>
      <c r="D170" s="10" t="s">
        <v>4</v>
      </c>
      <c r="E170" s="10" t="s">
        <v>5</v>
      </c>
      <c r="F170" s="4" t="s">
        <v>14</v>
      </c>
      <c r="G170" s="10" t="s">
        <v>7</v>
      </c>
      <c r="H170" s="10" t="s">
        <v>7</v>
      </c>
      <c r="J170" s="7" t="s">
        <v>8</v>
      </c>
      <c r="K170" s="9" t="s">
        <v>29</v>
      </c>
      <c r="L170" s="4" t="s">
        <v>9</v>
      </c>
      <c r="M170" s="4" t="s">
        <v>10</v>
      </c>
      <c r="N170" s="4" t="s">
        <v>11</v>
      </c>
      <c r="O170" s="10" t="s">
        <v>12</v>
      </c>
      <c r="P170" s="10" t="s">
        <v>26</v>
      </c>
      <c r="R170" s="4" t="s">
        <v>13</v>
      </c>
      <c r="S170" s="4" t="str">
        <f>K170</f>
        <v>Grup E</v>
      </c>
    </row>
    <row r="171" spans="1:27" ht="21.75" customHeight="1">
      <c r="A171" t="s">
        <v>162</v>
      </c>
      <c r="B171" s="8">
        <f>$L$2</f>
        <v>0.65625</v>
      </c>
      <c r="C171" s="4">
        <f>M6</f>
        <v>11</v>
      </c>
      <c r="D171" s="10" t="str">
        <f>K171</f>
        <v>MARTINEZ - DALMAU</v>
      </c>
      <c r="E171" s="10" t="str">
        <f>K173</f>
        <v>CICCONE - SARI</v>
      </c>
      <c r="F171" s="4" t="str">
        <f>K172</f>
        <v>RONCHI - MAESTRI</v>
      </c>
      <c r="G171" s="29"/>
      <c r="H171" s="30"/>
      <c r="J171" s="7">
        <f>RANK(P171,P171:P173,0)</f>
        <v>1</v>
      </c>
      <c r="K171" s="10" t="str">
        <f>IF(S45="Pdte","3r Grup 5 Matí",S47)</f>
        <v>MARTINEZ - DALMAU</v>
      </c>
      <c r="L171" s="4">
        <f>(IF(G171&gt;H171,1,IF(G171&lt;H171,0,))+(IF(G173&gt;H173,1,IF(G173&lt;H173,0,))))</f>
        <v>0</v>
      </c>
      <c r="M171" s="4">
        <f>G171+G173</f>
        <v>0</v>
      </c>
      <c r="N171" s="4">
        <f>H171+H173</f>
        <v>0</v>
      </c>
      <c r="O171" s="20" t="str">
        <f>IFERROR(M171/N171,"Max")</f>
        <v>Max</v>
      </c>
      <c r="P171" s="20">
        <f>IF(O171="Max",400,(L171*100)+O171)</f>
        <v>400</v>
      </c>
      <c r="Q171" s="11"/>
      <c r="R171" s="21">
        <v>1</v>
      </c>
      <c r="S171" s="7" t="str">
        <f>IF($L171+$L172+$L173=3,INDEX(K171:K173,MATCH($R171,J171:J173,0)),"Pdte")</f>
        <v>Pdte</v>
      </c>
      <c r="T171" s="11"/>
      <c r="V171" s="11"/>
      <c r="W171" s="11"/>
      <c r="X171" s="11"/>
      <c r="Z171" s="11"/>
    </row>
    <row r="172" spans="1:27" ht="21.75" customHeight="1">
      <c r="A172" t="s">
        <v>162</v>
      </c>
      <c r="B172" s="8">
        <f>B176+$O$1</f>
        <v>0.69097222222222232</v>
      </c>
      <c r="C172" s="4">
        <f>M6</f>
        <v>11</v>
      </c>
      <c r="D172" s="10" t="str">
        <f>K172</f>
        <v>RONCHI - MAESTRI</v>
      </c>
      <c r="E172" s="10" t="str">
        <f>K173</f>
        <v>CICCONE - SARI</v>
      </c>
      <c r="F172" s="4" t="str">
        <f>K171</f>
        <v>MARTINEZ - DALMAU</v>
      </c>
      <c r="G172" s="29"/>
      <c r="H172" s="30"/>
      <c r="J172" s="7">
        <f>RANK(P172,P171:P173,0)</f>
        <v>1</v>
      </c>
      <c r="K172" s="10" t="str">
        <f>IF(S74="Pdte","3r Grup 8 Matí",S76)</f>
        <v>RONCHI - MAESTRI</v>
      </c>
      <c r="L172" s="4">
        <f>(IF(G172&gt;H172,1,IF(G172&lt;H172,0,))+(IF(H173&gt;G173,1,IF(H173&lt;G173,0,))))</f>
        <v>0</v>
      </c>
      <c r="M172" s="4">
        <f>G172+H173</f>
        <v>0</v>
      </c>
      <c r="N172" s="4">
        <f>H172+G173</f>
        <v>0</v>
      </c>
      <c r="O172" s="20" t="str">
        <f>IFERROR(M172/N172,"Max")</f>
        <v>Max</v>
      </c>
      <c r="P172" s="20">
        <f>IF(O172="Max",400,(L172*100)+O172)</f>
        <v>400</v>
      </c>
      <c r="Q172" s="11"/>
      <c r="R172" s="21">
        <v>2</v>
      </c>
      <c r="S172" s="7" t="str">
        <f>IF($L172+$L173+$L171=3,INDEX(K171:K173,MATCH($R172,J171:J173,0)),"Pdte")</f>
        <v>Pdte</v>
      </c>
      <c r="T172" s="11"/>
      <c r="V172" s="11"/>
      <c r="W172" s="11"/>
      <c r="X172" s="11"/>
      <c r="Y172" s="11"/>
      <c r="Z172" s="11"/>
    </row>
    <row r="173" spans="1:27" ht="21.75" customHeight="1">
      <c r="A173" t="s">
        <v>162</v>
      </c>
      <c r="B173" s="8">
        <f>B177+$O$1</f>
        <v>0.72569444444444464</v>
      </c>
      <c r="C173" s="4">
        <f>M6</f>
        <v>11</v>
      </c>
      <c r="D173" s="10" t="str">
        <f>K171</f>
        <v>MARTINEZ - DALMAU</v>
      </c>
      <c r="E173" s="10" t="str">
        <f>K172</f>
        <v>RONCHI - MAESTRI</v>
      </c>
      <c r="F173" s="4" t="str">
        <f>K173</f>
        <v>CICCONE - SARI</v>
      </c>
      <c r="G173" s="29"/>
      <c r="H173" s="30"/>
      <c r="J173" s="7">
        <f>RANK(P173,P171:P173,0)</f>
        <v>1</v>
      </c>
      <c r="K173" s="10" t="str">
        <f>IF(S62="Pdte","5e Grup 7 Matí",S66)</f>
        <v>CICCONE - SARI</v>
      </c>
      <c r="L173" s="4">
        <f>(IF(H171&gt;G171,1,IF(H171&lt;G171,0,))+(IF(H172&gt;G172,1,IF(H172&lt;G172,0,))))</f>
        <v>0</v>
      </c>
      <c r="M173" s="4">
        <f>H171+H172</f>
        <v>0</v>
      </c>
      <c r="N173" s="4">
        <f>G171+G172</f>
        <v>0</v>
      </c>
      <c r="O173" s="20" t="str">
        <f>IFERROR(M173/N173,"Max")</f>
        <v>Max</v>
      </c>
      <c r="P173" s="20">
        <f>IF(O173="Max",400,(L173*100)+O173)</f>
        <v>400</v>
      </c>
      <c r="Q173" s="11"/>
      <c r="R173" s="21">
        <v>3</v>
      </c>
      <c r="S173" s="7" t="str">
        <f>IF($L173+$L172+$L171=3,INDEX(K171:K173,MATCH($R173,J171:J173,0)),"Pdte")</f>
        <v>Pdte</v>
      </c>
      <c r="T173" s="11"/>
      <c r="V173" s="11"/>
      <c r="W173" s="11"/>
      <c r="X173" s="11"/>
      <c r="Z173" s="11"/>
      <c r="AA173" s="11"/>
    </row>
    <row r="174" spans="1:27" s="11" customFormat="1" ht="21.75" customHeight="1">
      <c r="B174"/>
      <c r="C174"/>
      <c r="U174"/>
    </row>
    <row r="175" spans="1:27" s="11" customFormat="1" ht="21.75" customHeight="1">
      <c r="B175" s="4" t="s">
        <v>2</v>
      </c>
      <c r="C175" s="4" t="s">
        <v>3</v>
      </c>
      <c r="D175" s="10" t="s">
        <v>4</v>
      </c>
      <c r="E175" s="10" t="s">
        <v>5</v>
      </c>
      <c r="F175" s="4" t="s">
        <v>14</v>
      </c>
      <c r="G175" s="10" t="s">
        <v>7</v>
      </c>
      <c r="H175" s="10" t="s">
        <v>7</v>
      </c>
      <c r="J175" s="7" t="s">
        <v>8</v>
      </c>
      <c r="K175" s="9" t="s">
        <v>30</v>
      </c>
      <c r="L175" s="4" t="s">
        <v>9</v>
      </c>
      <c r="M175" s="4" t="s">
        <v>10</v>
      </c>
      <c r="N175" s="4" t="s">
        <v>11</v>
      </c>
      <c r="O175" s="10" t="s">
        <v>12</v>
      </c>
      <c r="P175" s="10" t="s">
        <v>26</v>
      </c>
      <c r="R175" s="4" t="s">
        <v>13</v>
      </c>
      <c r="S175" s="4" t="str">
        <f>K175</f>
        <v>Grup F</v>
      </c>
    </row>
    <row r="176" spans="1:27" ht="21.75" customHeight="1">
      <c r="A176" t="s">
        <v>163</v>
      </c>
      <c r="B176" s="8">
        <f>B171+$O$1</f>
        <v>0.67361111111111116</v>
      </c>
      <c r="C176" s="4">
        <f>M6</f>
        <v>11</v>
      </c>
      <c r="D176" s="10" t="str">
        <f>K176</f>
        <v>GALINDO - VERDAGUER</v>
      </c>
      <c r="E176" s="10" t="str">
        <f>K178</f>
        <v>STORARI - NACCARATO</v>
      </c>
      <c r="F176" s="4" t="str">
        <f>K177</f>
        <v>GALLEGO - CLAVERO</v>
      </c>
      <c r="G176" s="31"/>
      <c r="H176" s="32"/>
      <c r="J176" s="7">
        <f>RANK(P176,P176:P178,0)</f>
        <v>1</v>
      </c>
      <c r="K176" s="10" t="str">
        <f>IF(S54="Pdte","3r Grup 6 Matí",S56)</f>
        <v>GALINDO - VERDAGUER</v>
      </c>
      <c r="L176" s="4">
        <f>(IF(G176&gt;H176,1,IF(G176&lt;H176,0,))+(IF(G178&gt;H178,1,IF(G178&lt;H178,0,))))</f>
        <v>0</v>
      </c>
      <c r="M176" s="4">
        <f>G176+G178</f>
        <v>0</v>
      </c>
      <c r="N176" s="4">
        <f>H176+H178</f>
        <v>0</v>
      </c>
      <c r="O176" s="20" t="str">
        <f>IFERROR(M176/N176,"Max")</f>
        <v>Max</v>
      </c>
      <c r="P176" s="20">
        <f>IF(O176="Max",400,(L176*100)+O176)</f>
        <v>400</v>
      </c>
      <c r="Q176" s="11"/>
      <c r="R176" s="21">
        <v>1</v>
      </c>
      <c r="S176" s="7" t="str">
        <f>IF($L176+$L177+$L178=3,INDEX(K176:K178,MATCH($R176,J176:J178,0)),"Pdte")</f>
        <v>Pdte</v>
      </c>
      <c r="T176" s="11"/>
    </row>
    <row r="177" spans="1:20" ht="21.75" customHeight="1">
      <c r="A177" t="s">
        <v>163</v>
      </c>
      <c r="B177" s="8">
        <f>B172+$O$1</f>
        <v>0.70833333333333348</v>
      </c>
      <c r="C177" s="4">
        <f>M6</f>
        <v>11</v>
      </c>
      <c r="D177" s="10" t="str">
        <f>K177</f>
        <v>GALLEGO - CLAVERO</v>
      </c>
      <c r="E177" s="10" t="str">
        <f>K178</f>
        <v>STORARI - NACCARATO</v>
      </c>
      <c r="F177" s="4" t="str">
        <f>K176</f>
        <v>GALINDO - VERDAGUER</v>
      </c>
      <c r="G177" s="31"/>
      <c r="H177" s="32"/>
      <c r="J177" s="7">
        <f>RANK(P177,P176:P178,0)</f>
        <v>1</v>
      </c>
      <c r="K177" s="10" t="str">
        <f>IF(S62="Pdte","3r Grup 7 Matí",S64)</f>
        <v>GALLEGO - CLAVERO</v>
      </c>
      <c r="L177" s="4">
        <f>(IF(G177&gt;H177,1,IF(G177&lt;H177,0,))+(IF(H178&gt;G178,1,IF(H178&lt;G178,0,))))</f>
        <v>0</v>
      </c>
      <c r="M177" s="4">
        <f>G177+H178</f>
        <v>0</v>
      </c>
      <c r="N177" s="4">
        <f>H177+G178</f>
        <v>0</v>
      </c>
      <c r="O177" s="20" t="str">
        <f>IFERROR(M177/N177,"Max")</f>
        <v>Max</v>
      </c>
      <c r="P177" s="20">
        <f>IF(O177="Max",400,(L177*100)+O177)</f>
        <v>400</v>
      </c>
      <c r="Q177" s="11"/>
      <c r="R177" s="21">
        <v>2</v>
      </c>
      <c r="S177" s="7" t="str">
        <f>IF($L177+$L178+$L176=3,INDEX(K176:K178,MATCH($R177,J176:J178,0)),"Pdte")</f>
        <v>Pdte</v>
      </c>
      <c r="T177" s="11"/>
    </row>
    <row r="178" spans="1:20" ht="21.75" customHeight="1">
      <c r="A178" t="s">
        <v>163</v>
      </c>
      <c r="B178" s="8">
        <f>B173+$O$1</f>
        <v>0.7430555555555558</v>
      </c>
      <c r="C178" s="4">
        <f>M6</f>
        <v>11</v>
      </c>
      <c r="D178" s="10" t="str">
        <f>K176</f>
        <v>GALINDO - VERDAGUER</v>
      </c>
      <c r="E178" s="10" t="str">
        <f>K177</f>
        <v>GALLEGO - CLAVERO</v>
      </c>
      <c r="F178" s="4" t="str">
        <f>K178</f>
        <v>STORARI - NACCARATO</v>
      </c>
      <c r="G178" s="31"/>
      <c r="H178" s="32"/>
      <c r="J178" s="7">
        <f>RANK(P178,P176:P178,0)</f>
        <v>1</v>
      </c>
      <c r="K178" s="10" t="str">
        <f>IF(S74="Pdte","5e Grup 8 Matí",S78)</f>
        <v>STORARI - NACCARATO</v>
      </c>
      <c r="L178" s="4">
        <f>(IF(H176&gt;G176,1,IF(H176&lt;G176,0,))+(IF(H177&gt;G177,1,IF(H177&lt;G177,0,))))</f>
        <v>0</v>
      </c>
      <c r="M178" s="4">
        <f>H176+H177</f>
        <v>0</v>
      </c>
      <c r="N178" s="4">
        <f>G176+G177</f>
        <v>0</v>
      </c>
      <c r="O178" s="20" t="str">
        <f>IFERROR(M178/N178,"Max")</f>
        <v>Max</v>
      </c>
      <c r="P178" s="20">
        <f>IF(O178="Max",400,(L178*100)+O178)</f>
        <v>400</v>
      </c>
      <c r="Q178" s="11"/>
      <c r="R178" s="21">
        <v>3</v>
      </c>
      <c r="S178" s="7" t="str">
        <f>IF($L178+$L177+$L176=3,INDEX(K176:K178,MATCH($R178,J176:J178,0)),"Pdte")</f>
        <v>Pdte</v>
      </c>
      <c r="T178" s="11"/>
    </row>
    <row r="179" spans="1:20" s="11" customFormat="1" ht="21.75" customHeight="1">
      <c r="B179"/>
      <c r="C179"/>
    </row>
    <row r="180" spans="1:20" s="11" customFormat="1">
      <c r="B180" s="52" t="s">
        <v>66</v>
      </c>
    </row>
    <row r="181" spans="1:20" s="11" customFormat="1">
      <c r="B181" s="10" t="s">
        <v>2</v>
      </c>
      <c r="C181" s="10" t="s">
        <v>3</v>
      </c>
      <c r="D181" s="10" t="s">
        <v>4</v>
      </c>
      <c r="E181" s="10" t="s">
        <v>5</v>
      </c>
      <c r="F181" s="10" t="s">
        <v>14</v>
      </c>
      <c r="G181" s="10" t="s">
        <v>7</v>
      </c>
      <c r="H181" s="10" t="s">
        <v>7</v>
      </c>
    </row>
    <row r="182" spans="1:20" s="11" customFormat="1"/>
    <row r="183" spans="1:20" s="11" customFormat="1">
      <c r="B183" s="12"/>
      <c r="C183" s="12" t="s">
        <v>31</v>
      </c>
      <c r="D183" s="10" t="s">
        <v>73</v>
      </c>
      <c r="E183" s="10" t="s">
        <v>49</v>
      </c>
      <c r="F183" s="10" t="s">
        <v>17</v>
      </c>
      <c r="G183" s="51"/>
      <c r="H183" s="51"/>
    </row>
    <row r="184" spans="1:20" s="11" customFormat="1">
      <c r="A184" s="11" t="s">
        <v>164</v>
      </c>
      <c r="B184" s="13">
        <f>B178+1.6*O1</f>
        <v>0.77083333333333359</v>
      </c>
      <c r="C184" s="10">
        <f>L6</f>
        <v>7</v>
      </c>
      <c r="D184" s="10" t="str">
        <f>IF(S177="Pdte"," ",S177)</f>
        <v xml:space="preserve"> </v>
      </c>
      <c r="E184" s="10" t="str">
        <f>IF(S162="Pdte"," ",S162)</f>
        <v xml:space="preserve"> </v>
      </c>
      <c r="F184" s="10" t="str">
        <f>IF(S151="Pdte"," ",S151)</f>
        <v xml:space="preserve"> </v>
      </c>
      <c r="G184" s="29"/>
      <c r="H184" s="30"/>
    </row>
    <row r="185" spans="1:20" s="11" customFormat="1"/>
    <row r="186" spans="1:20" s="11" customFormat="1">
      <c r="B186" s="12"/>
      <c r="C186" s="12" t="s">
        <v>32</v>
      </c>
      <c r="D186" s="10" t="s">
        <v>75</v>
      </c>
      <c r="E186" s="10" t="s">
        <v>50</v>
      </c>
      <c r="F186" s="10" t="s">
        <v>67</v>
      </c>
    </row>
    <row r="187" spans="1:20" s="11" customFormat="1">
      <c r="A187" s="11" t="s">
        <v>165</v>
      </c>
      <c r="B187" s="13">
        <f>B178+1.6*O1</f>
        <v>0.77083333333333359</v>
      </c>
      <c r="C187" s="10">
        <f>L7</f>
        <v>8</v>
      </c>
      <c r="D187" s="10" t="str">
        <f>IF(S171="Pdte"," ",S171)</f>
        <v xml:space="preserve"> </v>
      </c>
      <c r="E187" s="10" t="str">
        <f>IF(S157="Pdte"," ",S157)</f>
        <v xml:space="preserve"> </v>
      </c>
      <c r="F187" s="10" t="str">
        <f>IF(S166="Pdte"," ",S166)</f>
        <v xml:space="preserve"> </v>
      </c>
      <c r="G187" s="29"/>
      <c r="H187" s="30"/>
    </row>
    <row r="188" spans="1:20" s="11" customFormat="1">
      <c r="B188" s="12"/>
      <c r="C188" s="12"/>
      <c r="G188" s="51"/>
      <c r="H188" s="51"/>
    </row>
    <row r="189" spans="1:20" s="11" customFormat="1">
      <c r="B189" s="12"/>
      <c r="C189" s="12" t="s">
        <v>33</v>
      </c>
      <c r="D189" s="10" t="s">
        <v>53</v>
      </c>
      <c r="E189" s="10" t="s">
        <v>74</v>
      </c>
      <c r="F189" s="10" t="s">
        <v>68</v>
      </c>
    </row>
    <row r="190" spans="1:20" s="11" customFormat="1">
      <c r="A190" s="11" t="s">
        <v>166</v>
      </c>
      <c r="B190" s="13">
        <f>B178+1.6*O1</f>
        <v>0.77083333333333359</v>
      </c>
      <c r="C190" s="10">
        <f>M4</f>
        <v>9</v>
      </c>
      <c r="D190" s="10" t="str">
        <f>IF(S167="Pdte"," ",S167)</f>
        <v xml:space="preserve"> </v>
      </c>
      <c r="E190" s="10" t="str">
        <f>IF(S172="Pdte"," ",S172)</f>
        <v xml:space="preserve"> </v>
      </c>
      <c r="F190" s="10" t="str">
        <f>IF(S161="Pdte"," ",S161)</f>
        <v xml:space="preserve"> </v>
      </c>
      <c r="G190" s="29"/>
      <c r="H190" s="30"/>
    </row>
    <row r="191" spans="1:20" s="11" customFormat="1">
      <c r="B191" s="12"/>
      <c r="C191" s="12"/>
      <c r="G191" s="51"/>
      <c r="H191" s="51"/>
    </row>
    <row r="192" spans="1:20" s="11" customFormat="1">
      <c r="B192" s="12"/>
      <c r="C192" s="12" t="s">
        <v>34</v>
      </c>
      <c r="D192" s="10" t="s">
        <v>76</v>
      </c>
      <c r="E192" s="10" t="s">
        <v>16</v>
      </c>
      <c r="F192" s="10" t="s">
        <v>52</v>
      </c>
    </row>
    <row r="193" spans="1:8" s="11" customFormat="1">
      <c r="A193" s="11" t="s">
        <v>167</v>
      </c>
      <c r="B193" s="13">
        <f>B178+1.6*O1</f>
        <v>0.77083333333333359</v>
      </c>
      <c r="C193" s="10">
        <f>M5</f>
        <v>10</v>
      </c>
      <c r="D193" s="10" t="str">
        <f>IF(S176="Pdte"," ",S176)</f>
        <v xml:space="preserve"> </v>
      </c>
      <c r="E193" s="10" t="str">
        <f>IF(S151="Pdte"," ",S152)</f>
        <v xml:space="preserve"> </v>
      </c>
      <c r="F193" s="10" t="str">
        <f>IF(S156="Pdte"," ",S156)</f>
        <v xml:space="preserve"> </v>
      </c>
      <c r="G193" s="29"/>
      <c r="H193" s="30"/>
    </row>
    <row r="194" spans="1:8" s="11" customFormat="1">
      <c r="B194" s="12"/>
      <c r="C194" s="12"/>
      <c r="G194" s="51"/>
      <c r="H194" s="51"/>
    </row>
    <row r="195" spans="1:8" s="11" customFormat="1">
      <c r="B195" s="12"/>
      <c r="C195" s="12" t="s">
        <v>35</v>
      </c>
      <c r="D195" s="10" t="s">
        <v>17</v>
      </c>
      <c r="E195" s="10" t="s">
        <v>71</v>
      </c>
      <c r="F195" s="10" t="s">
        <v>80</v>
      </c>
    </row>
    <row r="196" spans="1:8" s="11" customFormat="1">
      <c r="A196" s="11" t="s">
        <v>168</v>
      </c>
      <c r="B196" s="13">
        <f>B184+$O$1</f>
        <v>0.78819444444444475</v>
      </c>
      <c r="C196" s="10">
        <f>L6</f>
        <v>7</v>
      </c>
      <c r="D196" s="10" t="str">
        <f>IF(S151="Pdte"," ",S151)</f>
        <v xml:space="preserve"> </v>
      </c>
      <c r="E196" s="10" t="str">
        <f>IF(G184&gt;H184,D184,IF(G184&lt;H184,E184," "))</f>
        <v xml:space="preserve"> </v>
      </c>
      <c r="F196" s="10" t="str">
        <f>IF(G184&gt;H184,E184,IF(G184&lt;H184,D184," "))</f>
        <v xml:space="preserve"> </v>
      </c>
      <c r="G196" s="29"/>
      <c r="H196" s="30"/>
    </row>
    <row r="197" spans="1:8" s="11" customFormat="1">
      <c r="B197" s="12"/>
      <c r="C197" s="12"/>
      <c r="G197" s="51"/>
      <c r="H197" s="51"/>
    </row>
    <row r="198" spans="1:8" s="11" customFormat="1">
      <c r="B198" s="12"/>
      <c r="C198" s="12" t="s">
        <v>36</v>
      </c>
      <c r="D198" s="10" t="s">
        <v>77</v>
      </c>
      <c r="E198" s="10" t="s">
        <v>67</v>
      </c>
      <c r="F198" s="10" t="s">
        <v>81</v>
      </c>
      <c r="G198" s="51"/>
      <c r="H198" s="51"/>
    </row>
    <row r="199" spans="1:8" s="11" customFormat="1">
      <c r="A199" s="11" t="s">
        <v>169</v>
      </c>
      <c r="B199" s="13">
        <f>B187+$O$1</f>
        <v>0.78819444444444475</v>
      </c>
      <c r="C199" s="10">
        <f>L7</f>
        <v>8</v>
      </c>
      <c r="D199" s="10" t="str">
        <f>IF(G187&gt;H187,D187,IF(G187&lt;H187,E187," "))</f>
        <v xml:space="preserve"> </v>
      </c>
      <c r="E199" s="10" t="str">
        <f>IF(S166="Pdte"," ",S166)</f>
        <v xml:space="preserve"> </v>
      </c>
      <c r="F199" s="10" t="str">
        <f>IF(G187&gt;H187,E187,IF(G187&lt;H187,D187," "))</f>
        <v xml:space="preserve"> </v>
      </c>
      <c r="G199" s="29"/>
      <c r="H199" s="30"/>
    </row>
    <row r="200" spans="1:8" s="11" customFormat="1"/>
    <row r="201" spans="1:8" s="11" customFormat="1">
      <c r="B201" s="12"/>
      <c r="C201" s="12" t="s">
        <v>38</v>
      </c>
      <c r="D201" s="10" t="s">
        <v>78</v>
      </c>
      <c r="E201" s="10" t="s">
        <v>68</v>
      </c>
      <c r="F201" s="10" t="s">
        <v>82</v>
      </c>
    </row>
    <row r="202" spans="1:8" s="11" customFormat="1">
      <c r="A202" s="11" t="s">
        <v>170</v>
      </c>
      <c r="B202" s="13">
        <f>B190+$O$1</f>
        <v>0.78819444444444475</v>
      </c>
      <c r="C202" s="10">
        <f>M4</f>
        <v>9</v>
      </c>
      <c r="D202" s="10" t="str">
        <f>IF(G190&gt;H190,D190,IF(G190&lt;H190,E190," "))</f>
        <v xml:space="preserve"> </v>
      </c>
      <c r="E202" s="10" t="str">
        <f>IF(S161="Pdte"," ",S161)</f>
        <v xml:space="preserve"> </v>
      </c>
      <c r="F202" s="10" t="str">
        <f>IF(G190&gt;H190,E190,IF(G190&lt;H190,D190," "))</f>
        <v xml:space="preserve"> </v>
      </c>
      <c r="G202" s="29"/>
      <c r="H202" s="30"/>
    </row>
    <row r="203" spans="1:8" s="11" customFormat="1">
      <c r="B203" s="12"/>
      <c r="C203" s="12"/>
      <c r="G203" s="51"/>
      <c r="H203" s="51"/>
    </row>
    <row r="204" spans="1:8" s="11" customFormat="1">
      <c r="B204" s="12"/>
      <c r="C204" s="12" t="s">
        <v>39</v>
      </c>
      <c r="D204" s="10" t="s">
        <v>79</v>
      </c>
      <c r="E204" s="10" t="s">
        <v>52</v>
      </c>
      <c r="F204" s="10" t="s">
        <v>83</v>
      </c>
      <c r="G204" s="51"/>
      <c r="H204" s="51"/>
    </row>
    <row r="205" spans="1:8" s="11" customFormat="1">
      <c r="A205" s="11" t="s">
        <v>171</v>
      </c>
      <c r="B205" s="13">
        <f>B193+$O$1</f>
        <v>0.78819444444444475</v>
      </c>
      <c r="C205" s="10">
        <f>M5</f>
        <v>10</v>
      </c>
      <c r="D205" s="10" t="str">
        <f>IF(G193&gt;H193,D193,IF(G193&lt;H193,E193," "))</f>
        <v xml:space="preserve"> </v>
      </c>
      <c r="E205" s="10" t="str">
        <f>IF(S156="Pdte"," ",S156)</f>
        <v xml:space="preserve"> </v>
      </c>
      <c r="F205" s="10" t="str">
        <f>IF(G193&gt;H193,E193,IF(G193&lt;H193,D193," "))</f>
        <v xml:space="preserve"> </v>
      </c>
      <c r="G205" s="29"/>
      <c r="H205" s="30"/>
    </row>
    <row r="206" spans="1:8" s="11" customFormat="1"/>
    <row r="207" spans="1:8" s="11" customFormat="1">
      <c r="B207" s="12"/>
      <c r="C207" s="12" t="s">
        <v>15</v>
      </c>
      <c r="D207" s="10" t="s">
        <v>37</v>
      </c>
      <c r="E207" s="10" t="s">
        <v>41</v>
      </c>
      <c r="F207" s="10" t="s">
        <v>72</v>
      </c>
      <c r="G207" s="51"/>
      <c r="H207" s="51"/>
    </row>
    <row r="208" spans="1:8" s="11" customFormat="1">
      <c r="A208" s="11" t="s">
        <v>172</v>
      </c>
      <c r="B208" s="13">
        <f>B205+O1</f>
        <v>0.80555555555555591</v>
      </c>
      <c r="C208" s="10">
        <f>M4</f>
        <v>9</v>
      </c>
      <c r="D208" s="10" t="str">
        <f>IF(G196&gt;H196,D196,IF(G196&lt;H196,E196," "))</f>
        <v xml:space="preserve"> </v>
      </c>
      <c r="E208" s="10" t="str">
        <f>IF(G199&gt;H199,D199,IF(G199&lt;H199,E199," "))</f>
        <v xml:space="preserve"> </v>
      </c>
      <c r="F208" s="10" t="str">
        <f>IF(G202&gt;H202,E202,IF(G202&lt;H202,D202," "))</f>
        <v xml:space="preserve"> </v>
      </c>
      <c r="G208" s="29"/>
      <c r="H208" s="30"/>
    </row>
    <row r="209" spans="1:8" s="11" customFormat="1">
      <c r="B209" s="12"/>
      <c r="C209" s="12"/>
      <c r="G209" s="51"/>
      <c r="H209" s="51"/>
    </row>
    <row r="210" spans="1:8" s="11" customFormat="1">
      <c r="B210" s="12"/>
      <c r="C210" s="11" t="s">
        <v>43</v>
      </c>
      <c r="D210" s="10" t="s">
        <v>40</v>
      </c>
      <c r="E210" s="10" t="s">
        <v>44</v>
      </c>
      <c r="F210" s="10" t="s">
        <v>45</v>
      </c>
      <c r="G210" s="51"/>
      <c r="H210" s="51"/>
    </row>
    <row r="211" spans="1:8" s="11" customFormat="1">
      <c r="A211" s="11" t="s">
        <v>173</v>
      </c>
      <c r="B211" s="13">
        <f>B205+O1</f>
        <v>0.80555555555555591</v>
      </c>
      <c r="C211" s="10">
        <f>M5</f>
        <v>10</v>
      </c>
      <c r="D211" s="10" t="str">
        <f>IF(G202&gt;H202,D202,IF(G202&lt;H202,E202," "))</f>
        <v xml:space="preserve"> </v>
      </c>
      <c r="E211" s="10" t="str">
        <f>IF(G205&gt;H205,D205,IF(G205&lt;H205,E205," "))</f>
        <v xml:space="preserve"> </v>
      </c>
      <c r="F211" s="10" t="str">
        <f>IF(G205&gt;H205,E205,IF(G205&lt;H205,D205," "))</f>
        <v xml:space="preserve"> </v>
      </c>
      <c r="G211" s="29"/>
      <c r="H211" s="30"/>
    </row>
    <row r="212" spans="1:8" s="11" customFormat="1">
      <c r="G212" s="51"/>
      <c r="H212" s="51"/>
    </row>
    <row r="213" spans="1:8" s="11" customFormat="1">
      <c r="B213" s="12"/>
      <c r="C213" s="12" t="s">
        <v>18</v>
      </c>
      <c r="D213" s="10" t="s">
        <v>19</v>
      </c>
      <c r="E213" s="10" t="s">
        <v>46</v>
      </c>
      <c r="F213" s="10" t="s">
        <v>146</v>
      </c>
      <c r="G213" s="51"/>
      <c r="H213" s="51"/>
    </row>
    <row r="214" spans="1:8" s="11" customFormat="1">
      <c r="A214" s="11" t="s">
        <v>173</v>
      </c>
      <c r="B214" s="13">
        <f>B208+O1</f>
        <v>0.82291666666666707</v>
      </c>
      <c r="C214" s="53">
        <f>M4</f>
        <v>9</v>
      </c>
      <c r="D214" s="10" t="str">
        <f>IF(G208&gt;H208,D208,IF(G208&lt;H208,F190," "))</f>
        <v xml:space="preserve"> </v>
      </c>
      <c r="E214" s="10" t="str">
        <f>IF(G211&gt;H211,D211,IF(G211&lt;H211,E211," "))</f>
        <v xml:space="preserve"> </v>
      </c>
      <c r="F214" s="10" t="str">
        <f>IF(G208&gt;H208,E208,IF(G208&lt;H208,D208," "))</f>
        <v xml:space="preserve"> </v>
      </c>
      <c r="G214" s="29"/>
      <c r="H214" s="30"/>
    </row>
    <row r="215" spans="1:8" s="11" customFormat="1"/>
  </sheetData>
  <mergeCells count="1">
    <mergeCell ref="B1:H7"/>
  </mergeCells>
  <conditionalFormatting sqref="S20:S23">
    <cfRule type="duplicateValues" dxfId="26" priority="29"/>
  </conditionalFormatting>
  <conditionalFormatting sqref="S11:S14">
    <cfRule type="duplicateValues" dxfId="25" priority="28"/>
  </conditionalFormatting>
  <conditionalFormatting sqref="S36:S39">
    <cfRule type="duplicateValues" dxfId="24" priority="27"/>
  </conditionalFormatting>
  <conditionalFormatting sqref="S28:S31">
    <cfRule type="duplicateValues" dxfId="23" priority="26"/>
  </conditionalFormatting>
  <conditionalFormatting sqref="S54:S57">
    <cfRule type="duplicateValues" dxfId="22" priority="25"/>
  </conditionalFormatting>
  <conditionalFormatting sqref="S45:S48">
    <cfRule type="duplicateValues" dxfId="21" priority="24"/>
  </conditionalFormatting>
  <conditionalFormatting sqref="S62">
    <cfRule type="duplicateValues" dxfId="20" priority="21"/>
  </conditionalFormatting>
  <conditionalFormatting sqref="S63:S66">
    <cfRule type="duplicateValues" dxfId="19" priority="20"/>
  </conditionalFormatting>
  <conditionalFormatting sqref="S74">
    <cfRule type="duplicateValues" dxfId="18" priority="19"/>
  </conditionalFormatting>
  <conditionalFormatting sqref="S75:S78">
    <cfRule type="duplicateValues" dxfId="17" priority="18"/>
  </conditionalFormatting>
  <conditionalFormatting sqref="S98:S101">
    <cfRule type="duplicateValues" dxfId="16" priority="17"/>
  </conditionalFormatting>
  <conditionalFormatting sqref="S89:S92">
    <cfRule type="duplicateValues" dxfId="15" priority="16"/>
  </conditionalFormatting>
  <conditionalFormatting sqref="S115:S118">
    <cfRule type="duplicateValues" dxfId="14" priority="15"/>
  </conditionalFormatting>
  <conditionalFormatting sqref="S106:S109">
    <cfRule type="duplicateValues" dxfId="13" priority="14"/>
  </conditionalFormatting>
  <conditionalFormatting sqref="S151">
    <cfRule type="duplicateValues" dxfId="12" priority="13"/>
  </conditionalFormatting>
  <conditionalFormatting sqref="S152:S153">
    <cfRule type="duplicateValues" dxfId="11" priority="12"/>
  </conditionalFormatting>
  <conditionalFormatting sqref="S156">
    <cfRule type="duplicateValues" dxfId="10" priority="11"/>
  </conditionalFormatting>
  <conditionalFormatting sqref="S157:S158">
    <cfRule type="duplicateValues" dxfId="9" priority="10"/>
  </conditionalFormatting>
  <conditionalFormatting sqref="S161">
    <cfRule type="duplicateValues" dxfId="8" priority="9"/>
  </conditionalFormatting>
  <conditionalFormatting sqref="S162:S163">
    <cfRule type="duplicateValues" dxfId="7" priority="8"/>
  </conditionalFormatting>
  <conditionalFormatting sqref="S166">
    <cfRule type="duplicateValues" dxfId="6" priority="7"/>
  </conditionalFormatting>
  <conditionalFormatting sqref="S167:S168">
    <cfRule type="duplicateValues" dxfId="5" priority="6"/>
  </conditionalFormatting>
  <conditionalFormatting sqref="S171">
    <cfRule type="duplicateValues" dxfId="4" priority="5"/>
  </conditionalFormatting>
  <conditionalFormatting sqref="S172:S173">
    <cfRule type="duplicateValues" dxfId="3" priority="4"/>
  </conditionalFormatting>
  <conditionalFormatting sqref="S176">
    <cfRule type="duplicateValues" dxfId="2" priority="3"/>
  </conditionalFormatting>
  <conditionalFormatting sqref="S177:S178">
    <cfRule type="duplicateValues" dxfId="1" priority="2"/>
  </conditionalFormatting>
  <conditionalFormatting sqref="K10:K78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F7" sqref="F7"/>
    </sheetView>
  </sheetViews>
  <sheetFormatPr baseColWidth="10" defaultRowHeight="14.4"/>
  <cols>
    <col min="1" max="1" width="25" bestFit="1" customWidth="1"/>
    <col min="2" max="2" width="21.33203125" bestFit="1" customWidth="1"/>
    <col min="3" max="3" width="12.88671875" bestFit="1" customWidth="1"/>
    <col min="4" max="4" width="12.5546875" bestFit="1" customWidth="1"/>
    <col min="7" max="7" width="22.109375" bestFit="1" customWidth="1"/>
    <col min="8" max="8" width="21.33203125" bestFit="1" customWidth="1"/>
    <col min="9" max="9" width="12.88671875" bestFit="1" customWidth="1"/>
    <col min="10" max="10" width="12.5546875" bestFit="1" customWidth="1"/>
  </cols>
  <sheetData>
    <row r="1" spans="1:10" ht="21">
      <c r="A1" s="54" t="s">
        <v>84</v>
      </c>
      <c r="B1" s="55" t="s">
        <v>85</v>
      </c>
      <c r="C1" s="55" t="s">
        <v>86</v>
      </c>
      <c r="D1" s="55" t="s">
        <v>87</v>
      </c>
      <c r="G1" s="54" t="s">
        <v>84</v>
      </c>
      <c r="H1" s="55" t="s">
        <v>85</v>
      </c>
      <c r="I1" s="55" t="s">
        <v>86</v>
      </c>
      <c r="J1" s="55" t="s">
        <v>87</v>
      </c>
    </row>
    <row r="2" spans="1:10" ht="15.6">
      <c r="A2" s="56" t="s">
        <v>115</v>
      </c>
      <c r="B2" s="55">
        <v>9510</v>
      </c>
      <c r="C2" s="55">
        <v>3664</v>
      </c>
      <c r="D2" s="55">
        <v>4572</v>
      </c>
      <c r="G2" s="56" t="s">
        <v>144</v>
      </c>
      <c r="H2" s="55">
        <v>6360</v>
      </c>
      <c r="I2" s="55">
        <v>4224</v>
      </c>
      <c r="J2" s="55">
        <v>5984</v>
      </c>
    </row>
    <row r="3" spans="1:10" ht="15.6">
      <c r="A3" s="56" t="s">
        <v>112</v>
      </c>
      <c r="B3" s="55">
        <v>2236</v>
      </c>
      <c r="C3" s="55">
        <v>3472</v>
      </c>
      <c r="D3" s="55">
        <v>4828</v>
      </c>
      <c r="G3" s="56" t="s">
        <v>133</v>
      </c>
      <c r="H3" s="55">
        <v>4160</v>
      </c>
      <c r="I3" s="55">
        <v>4032</v>
      </c>
      <c r="J3" s="55">
        <v>5472</v>
      </c>
    </row>
    <row r="4" spans="1:10" ht="15.6">
      <c r="A4" s="56" t="s">
        <v>114</v>
      </c>
      <c r="B4" s="55">
        <v>6067</v>
      </c>
      <c r="C4" s="55">
        <v>2484</v>
      </c>
      <c r="D4" s="55">
        <v>3684</v>
      </c>
      <c r="G4" s="56" t="s">
        <v>143</v>
      </c>
      <c r="H4" s="55">
        <v>1496</v>
      </c>
      <c r="I4" s="55">
        <v>2808</v>
      </c>
      <c r="J4" s="55">
        <v>3096</v>
      </c>
    </row>
    <row r="5" spans="1:10" ht="15.6">
      <c r="A5" s="56" t="s">
        <v>92</v>
      </c>
      <c r="B5" s="55">
        <v>4078</v>
      </c>
      <c r="C5" s="55">
        <v>2476</v>
      </c>
      <c r="D5" s="55">
        <v>3732</v>
      </c>
      <c r="G5" s="56" t="s">
        <v>127</v>
      </c>
      <c r="H5" s="55">
        <v>1264</v>
      </c>
      <c r="I5" s="55">
        <v>1892</v>
      </c>
      <c r="J5" s="55">
        <v>2288</v>
      </c>
    </row>
    <row r="6" spans="1:10" ht="15.6">
      <c r="A6" s="56" t="s">
        <v>116</v>
      </c>
      <c r="B6" s="55">
        <v>1848</v>
      </c>
      <c r="C6" s="55">
        <v>2384</v>
      </c>
      <c r="D6" s="55">
        <v>2624</v>
      </c>
      <c r="G6" s="56" t="s">
        <v>123</v>
      </c>
      <c r="H6" s="55">
        <v>584</v>
      </c>
      <c r="I6" s="55">
        <v>1824</v>
      </c>
      <c r="J6" s="55">
        <v>2032</v>
      </c>
    </row>
    <row r="7" spans="1:10" ht="15.6">
      <c r="A7" s="56" t="s">
        <v>96</v>
      </c>
      <c r="B7" s="55">
        <v>858</v>
      </c>
      <c r="C7" s="55">
        <v>1976</v>
      </c>
      <c r="D7" s="55">
        <v>2657</v>
      </c>
      <c r="G7" s="56" t="s">
        <v>134</v>
      </c>
      <c r="H7" s="55">
        <v>1392</v>
      </c>
      <c r="I7" s="55">
        <v>1504</v>
      </c>
      <c r="J7" s="55">
        <v>2080</v>
      </c>
    </row>
    <row r="8" spans="1:10" ht="15.6">
      <c r="A8" s="56" t="s">
        <v>109</v>
      </c>
      <c r="B8" s="55">
        <v>3564</v>
      </c>
      <c r="C8" s="55">
        <v>1908</v>
      </c>
      <c r="D8" s="55">
        <v>2392</v>
      </c>
      <c r="G8" s="56" t="s">
        <v>140</v>
      </c>
      <c r="H8" s="55">
        <v>1004</v>
      </c>
      <c r="I8" s="55">
        <v>1312</v>
      </c>
      <c r="J8" s="55">
        <v>1312</v>
      </c>
    </row>
    <row r="9" spans="1:10" ht="15.6">
      <c r="A9" s="56" t="s">
        <v>103</v>
      </c>
      <c r="B9" s="55">
        <v>1376</v>
      </c>
      <c r="C9" s="55">
        <v>1708</v>
      </c>
      <c r="D9" s="55">
        <v>2624</v>
      </c>
      <c r="G9" s="56" t="s">
        <v>137</v>
      </c>
      <c r="H9" s="55">
        <v>3020</v>
      </c>
      <c r="I9" s="55">
        <v>1020</v>
      </c>
      <c r="J9" s="55">
        <v>1248</v>
      </c>
    </row>
    <row r="10" spans="1:10" ht="15.6">
      <c r="A10" s="56" t="s">
        <v>106</v>
      </c>
      <c r="B10" s="55">
        <v>1372</v>
      </c>
      <c r="C10" s="55">
        <v>1520</v>
      </c>
      <c r="D10" s="55">
        <v>1712</v>
      </c>
      <c r="G10" s="56" t="s">
        <v>131</v>
      </c>
      <c r="H10" s="55">
        <v>1088</v>
      </c>
      <c r="I10" s="55">
        <v>936</v>
      </c>
      <c r="J10" s="55">
        <v>1276</v>
      </c>
    </row>
    <row r="11" spans="1:10" ht="15.6">
      <c r="A11" s="56" t="s">
        <v>111</v>
      </c>
      <c r="B11" s="55">
        <v>1900</v>
      </c>
      <c r="C11" s="55">
        <v>1152</v>
      </c>
      <c r="D11" s="55">
        <v>1752</v>
      </c>
      <c r="G11" s="56" t="s">
        <v>130</v>
      </c>
      <c r="H11" s="55">
        <v>240</v>
      </c>
      <c r="I11" s="55">
        <v>864</v>
      </c>
      <c r="J11" s="55">
        <v>968</v>
      </c>
    </row>
    <row r="12" spans="1:10" ht="15.6">
      <c r="A12" s="56" t="s">
        <v>98</v>
      </c>
      <c r="B12" s="55">
        <v>916</v>
      </c>
      <c r="C12" s="55">
        <v>1019</v>
      </c>
      <c r="D12" s="55">
        <v>1318</v>
      </c>
      <c r="G12" s="56" t="s">
        <v>139</v>
      </c>
      <c r="H12" s="55">
        <v>550</v>
      </c>
      <c r="I12" s="55">
        <v>781</v>
      </c>
      <c r="J12" s="55">
        <v>839</v>
      </c>
    </row>
    <row r="13" spans="1:10" ht="15.6">
      <c r="A13" s="56" t="s">
        <v>113</v>
      </c>
      <c r="B13" s="55">
        <v>216</v>
      </c>
      <c r="C13" s="55">
        <v>880</v>
      </c>
      <c r="D13" s="55">
        <v>880</v>
      </c>
      <c r="G13" s="56" t="s">
        <v>141</v>
      </c>
      <c r="H13" s="55">
        <v>152</v>
      </c>
      <c r="I13" s="55">
        <v>588</v>
      </c>
      <c r="J13" s="55">
        <v>624</v>
      </c>
    </row>
    <row r="14" spans="1:10" ht="15.6">
      <c r="A14" s="56" t="s">
        <v>102</v>
      </c>
      <c r="B14" s="55">
        <v>80</v>
      </c>
      <c r="C14" s="55">
        <v>721</v>
      </c>
      <c r="D14" s="55">
        <v>766</v>
      </c>
      <c r="G14" s="56" t="s">
        <v>128</v>
      </c>
      <c r="H14" s="55">
        <v>64</v>
      </c>
      <c r="I14" s="55">
        <v>423</v>
      </c>
      <c r="J14" s="55">
        <v>496</v>
      </c>
    </row>
    <row r="15" spans="1:10" ht="15.6">
      <c r="A15" s="56" t="s">
        <v>121</v>
      </c>
      <c r="B15" s="55">
        <v>150</v>
      </c>
      <c r="C15" s="55">
        <v>568</v>
      </c>
      <c r="D15" s="55">
        <v>690</v>
      </c>
      <c r="G15" s="56" t="s">
        <v>125</v>
      </c>
      <c r="H15" s="55">
        <v>0</v>
      </c>
      <c r="I15" s="55">
        <v>376</v>
      </c>
      <c r="J15" s="55">
        <v>376</v>
      </c>
    </row>
    <row r="16" spans="1:10" ht="15.6">
      <c r="A16" s="56" t="s">
        <v>108</v>
      </c>
      <c r="B16" s="55">
        <v>340</v>
      </c>
      <c r="C16" s="55">
        <v>560</v>
      </c>
      <c r="D16" s="55">
        <v>708</v>
      </c>
      <c r="G16" s="56" t="s">
        <v>129</v>
      </c>
      <c r="H16" s="55">
        <v>32</v>
      </c>
      <c r="I16" s="55">
        <v>368</v>
      </c>
      <c r="J16" s="55">
        <v>368</v>
      </c>
    </row>
    <row r="17" spans="1:10" ht="15.6">
      <c r="A17" s="56" t="s">
        <v>97</v>
      </c>
      <c r="B17" s="55">
        <v>104</v>
      </c>
      <c r="C17" s="55">
        <v>550</v>
      </c>
      <c r="D17" s="55">
        <v>597</v>
      </c>
      <c r="G17" s="56" t="s">
        <v>136</v>
      </c>
      <c r="H17" s="55">
        <v>0</v>
      </c>
      <c r="I17" s="55">
        <v>252</v>
      </c>
      <c r="J17" s="55">
        <v>252</v>
      </c>
    </row>
    <row r="18" spans="1:10" ht="15.6">
      <c r="A18" s="56" t="s">
        <v>89</v>
      </c>
      <c r="B18" s="55">
        <v>224</v>
      </c>
      <c r="C18" s="55">
        <v>520</v>
      </c>
      <c r="D18" s="55">
        <v>639</v>
      </c>
      <c r="G18" s="56" t="s">
        <v>124</v>
      </c>
      <c r="H18" s="55">
        <v>272</v>
      </c>
      <c r="I18" s="55">
        <v>238</v>
      </c>
      <c r="J18" s="55">
        <v>238</v>
      </c>
    </row>
    <row r="19" spans="1:10" ht="15.6">
      <c r="A19" s="56" t="s">
        <v>120</v>
      </c>
      <c r="B19" s="55">
        <v>352</v>
      </c>
      <c r="C19" s="55">
        <v>488</v>
      </c>
      <c r="D19" s="55">
        <v>488</v>
      </c>
      <c r="G19" s="56" t="s">
        <v>138</v>
      </c>
      <c r="H19" s="55">
        <v>40</v>
      </c>
      <c r="I19" s="55">
        <v>232</v>
      </c>
      <c r="J19" s="55">
        <v>232</v>
      </c>
    </row>
    <row r="20" spans="1:10" ht="15.6">
      <c r="A20" s="56" t="s">
        <v>101</v>
      </c>
      <c r="B20" s="55">
        <v>64</v>
      </c>
      <c r="C20" s="55">
        <v>328</v>
      </c>
      <c r="D20" s="55">
        <v>328</v>
      </c>
      <c r="G20" s="56" t="s">
        <v>142</v>
      </c>
      <c r="H20" s="55">
        <v>930</v>
      </c>
      <c r="I20" s="55">
        <v>220</v>
      </c>
      <c r="J20" s="55">
        <v>220</v>
      </c>
    </row>
    <row r="21" spans="1:10" ht="15.6">
      <c r="A21" s="56" t="s">
        <v>105</v>
      </c>
      <c r="B21" s="55">
        <v>40</v>
      </c>
      <c r="C21" s="55">
        <v>318</v>
      </c>
      <c r="D21" s="55">
        <v>329</v>
      </c>
      <c r="G21" s="56" t="s">
        <v>126</v>
      </c>
      <c r="H21" s="55">
        <v>0</v>
      </c>
      <c r="I21" s="55">
        <v>112</v>
      </c>
      <c r="J21" s="55">
        <v>112</v>
      </c>
    </row>
    <row r="22" spans="1:10" ht="15.6">
      <c r="A22" s="56" t="s">
        <v>94</v>
      </c>
      <c r="B22" s="55">
        <v>2148</v>
      </c>
      <c r="C22" s="55">
        <v>312</v>
      </c>
      <c r="D22" s="55">
        <v>312</v>
      </c>
      <c r="G22" s="56" t="s">
        <v>135</v>
      </c>
      <c r="H22" s="55">
        <v>0</v>
      </c>
      <c r="I22" s="55">
        <v>107</v>
      </c>
      <c r="J22" s="55">
        <v>136</v>
      </c>
    </row>
    <row r="23" spans="1:10" ht="15.6">
      <c r="A23" s="56" t="s">
        <v>110</v>
      </c>
      <c r="B23" s="55">
        <v>24</v>
      </c>
      <c r="C23" s="55">
        <v>264</v>
      </c>
      <c r="D23" s="55">
        <v>264</v>
      </c>
      <c r="G23" s="56" t="s">
        <v>132</v>
      </c>
      <c r="H23" s="55">
        <v>0</v>
      </c>
      <c r="I23" s="55">
        <v>56</v>
      </c>
      <c r="J23" s="55">
        <v>56</v>
      </c>
    </row>
    <row r="24" spans="1:10" ht="15.6">
      <c r="A24" s="56" t="s">
        <v>90</v>
      </c>
      <c r="B24" s="55">
        <v>0</v>
      </c>
      <c r="C24" s="55">
        <v>195</v>
      </c>
      <c r="D24" s="55">
        <v>195</v>
      </c>
      <c r="G24" s="56" t="s">
        <v>122</v>
      </c>
      <c r="H24" s="55">
        <v>0</v>
      </c>
      <c r="I24" s="55">
        <v>0</v>
      </c>
      <c r="J24" s="55">
        <v>0</v>
      </c>
    </row>
    <row r="25" spans="1:10" ht="15.6">
      <c r="A25" s="56" t="s">
        <v>93</v>
      </c>
      <c r="B25" s="55">
        <v>120</v>
      </c>
      <c r="C25" s="55">
        <v>72</v>
      </c>
      <c r="D25" s="55">
        <v>72</v>
      </c>
      <c r="G25" s="56" t="s">
        <v>145</v>
      </c>
      <c r="H25" s="55">
        <v>0</v>
      </c>
      <c r="I25" s="55">
        <v>0</v>
      </c>
      <c r="J25" s="55">
        <v>0</v>
      </c>
    </row>
    <row r="26" spans="1:10" ht="15.6">
      <c r="A26" s="56" t="s">
        <v>100</v>
      </c>
      <c r="B26" s="55">
        <v>0</v>
      </c>
      <c r="C26" s="55">
        <v>72</v>
      </c>
      <c r="D26" s="55">
        <v>72</v>
      </c>
    </row>
    <row r="27" spans="1:10" ht="15.6">
      <c r="A27" s="56" t="s">
        <v>107</v>
      </c>
      <c r="B27" s="55">
        <v>8</v>
      </c>
      <c r="C27" s="55">
        <v>45</v>
      </c>
      <c r="D27" s="55">
        <v>45</v>
      </c>
    </row>
    <row r="28" spans="1:10" ht="15.6">
      <c r="A28" s="56" t="s">
        <v>118</v>
      </c>
      <c r="B28" s="55">
        <v>0</v>
      </c>
      <c r="C28" s="55">
        <v>41</v>
      </c>
      <c r="D28" s="55">
        <v>41</v>
      </c>
    </row>
    <row r="29" spans="1:10" ht="15.6">
      <c r="A29" s="56" t="s">
        <v>88</v>
      </c>
      <c r="B29" s="55">
        <v>0</v>
      </c>
      <c r="C29" s="55">
        <v>30</v>
      </c>
      <c r="D29" s="55">
        <v>30</v>
      </c>
    </row>
    <row r="30" spans="1:10" ht="15.6">
      <c r="A30" s="56" t="s">
        <v>91</v>
      </c>
      <c r="B30" s="55">
        <v>0</v>
      </c>
      <c r="C30" s="55">
        <v>0</v>
      </c>
      <c r="D30" s="55">
        <v>0</v>
      </c>
    </row>
    <row r="31" spans="1:10" ht="15.6">
      <c r="A31" s="56" t="s">
        <v>104</v>
      </c>
      <c r="B31" s="55">
        <v>0</v>
      </c>
      <c r="C31" s="55">
        <v>0</v>
      </c>
      <c r="D31" s="55">
        <v>0</v>
      </c>
    </row>
    <row r="32" spans="1:10" ht="15.6">
      <c r="A32" s="56" t="s">
        <v>99</v>
      </c>
      <c r="B32" s="55">
        <v>0</v>
      </c>
      <c r="C32" s="55">
        <v>0</v>
      </c>
      <c r="D32" s="55">
        <v>0</v>
      </c>
    </row>
    <row r="33" spans="1:4" ht="15.6">
      <c r="A33" s="56" t="s">
        <v>117</v>
      </c>
      <c r="B33" s="55">
        <v>0</v>
      </c>
      <c r="C33" s="55">
        <v>0</v>
      </c>
      <c r="D33" s="55">
        <v>0</v>
      </c>
    </row>
    <row r="34" spans="1:4" ht="15.6">
      <c r="A34" s="56" t="s">
        <v>95</v>
      </c>
      <c r="B34" s="55">
        <v>0</v>
      </c>
      <c r="C34" s="55">
        <v>0</v>
      </c>
      <c r="D34" s="55">
        <v>0</v>
      </c>
    </row>
    <row r="35" spans="1:4" ht="15.6">
      <c r="A35" s="56" t="s">
        <v>119</v>
      </c>
      <c r="B35" s="55">
        <v>0</v>
      </c>
      <c r="C35" s="55">
        <v>0</v>
      </c>
      <c r="D35" s="55">
        <v>0</v>
      </c>
    </row>
  </sheetData>
  <sortState ref="G2:J25">
    <sortCondition descending="1" ref="I2:I25"/>
    <sortCondition descending="1" ref="J2:J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6B9662FACFB44795CD38E22AA1C164" ma:contentTypeVersion="16" ma:contentTypeDescription="Crear nuevo documento." ma:contentTypeScope="" ma:versionID="3355816d459519f49044297256cfeb0c">
  <xsd:schema xmlns:xsd="http://www.w3.org/2001/XMLSchema" xmlns:xs="http://www.w3.org/2001/XMLSchema" xmlns:p="http://schemas.microsoft.com/office/2006/metadata/properties" xmlns:ns3="2feb3fa4-7f11-4806-9ec3-c839cb2d87a3" xmlns:ns4="432bccbf-364a-4aed-91b1-0523cb563def" targetNamespace="http://schemas.microsoft.com/office/2006/metadata/properties" ma:root="true" ma:fieldsID="f42a7f805cd06ae9bf7f708248709434" ns3:_="" ns4:_="">
    <xsd:import namespace="2feb3fa4-7f11-4806-9ec3-c839cb2d87a3"/>
    <xsd:import namespace="432bccbf-364a-4aed-91b1-0523cb563d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3fa4-7f11-4806-9ec3-c839cb2d87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bccbf-364a-4aed-91b1-0523cb56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32bccbf-364a-4aed-91b1-0523cb563def" xsi:nil="true"/>
  </documentManagement>
</p:properties>
</file>

<file path=customXml/itemProps1.xml><?xml version="1.0" encoding="utf-8"?>
<ds:datastoreItem xmlns:ds="http://schemas.openxmlformats.org/officeDocument/2006/customXml" ds:itemID="{469F8473-BC9A-48DE-AEB5-A78748A9E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eb3fa4-7f11-4806-9ec3-c839cb2d87a3"/>
    <ds:schemaRef ds:uri="432bccbf-364a-4aed-91b1-0523cb563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D5C85-612E-4406-AA5B-4ACDA608C4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F925F-6F15-4791-918F-9A5873CA8F18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432bccbf-364a-4aed-91b1-0523cb563def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feb3fa4-7f11-4806-9ec3-c839cb2d87a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Chicas</vt:lpstr>
      <vt:lpstr>Chicos</vt:lpstr>
      <vt:lpstr>Entradas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Volei Platja</dc:creator>
  <cp:lastModifiedBy>Sergio Gracia</cp:lastModifiedBy>
  <dcterms:created xsi:type="dcterms:W3CDTF">2024-06-06T12:33:44Z</dcterms:created>
  <dcterms:modified xsi:type="dcterms:W3CDTF">2024-06-08T12:06:53Z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0x010100486B9662FACFB44795CD38E22AA1C164</vt:lpwstr>
  </property>
</Properties>
</file>